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24226"/>
  <mc:AlternateContent xmlns:mc="http://schemas.openxmlformats.org/markup-compatibility/2006">
    <mc:Choice Requires="x15">
      <x15ac:absPath xmlns:x15ac="http://schemas.microsoft.com/office/spreadsheetml/2010/11/ac" url="\\file-itd-01.lm.local\LRLMSharedFolders$\ESSD\Vjačeslava dokumenti\2014-2020\Vienkāršotās izmaksas\UnitCost metodikas\9.2.2.1\1.SBSP\Grozījumi Nr. 10 (3. pielikums)\"/>
    </mc:Choice>
  </mc:AlternateContent>
  <xr:revisionPtr revIDLastSave="0" documentId="13_ncr:1_{26E4CD8D-BBA7-4E91-A2A9-277264F0124D}" xr6:coauthVersionLast="36" xr6:coauthVersionMax="36" xr10:uidLastSave="{00000000-0000-0000-0000-000000000000}"/>
  <bookViews>
    <workbookView xWindow="0" yWindow="0" windowWidth="19200" windowHeight="6350" xr2:uid="{00000000-000D-0000-FFFF-FFFF00000000}"/>
  </bookViews>
  <sheets>
    <sheet name="3.1. pielikums" sheetId="11" r:id="rId1"/>
    <sheet name="3.2. pielikums" sheetId="2" r:id="rId2"/>
    <sheet name="3.3. pielikums" sheetId="9" r:id="rId3"/>
    <sheet name="3.4. pielikums" sheetId="10" r:id="rId4"/>
    <sheet name="3.5. pielikums" sheetId="8" r:id="rId5"/>
    <sheet name="3.6. pielikums" sheetId="13" r:id="rId6"/>
    <sheet name="3.7. pielikums" sheetId="12" r:id="rId7"/>
  </sheets>
  <definedNames>
    <definedName name="_xlnm.Print_Titles" localSheetId="1">'3.2. pielikums'!$3:$3</definedName>
    <definedName name="_xlnm.Print_Titles" localSheetId="2">'3.3. pielikums'!$3:$3</definedName>
  </definedNames>
  <calcPr calcId="191028" iterateDelta="1E-4"/>
  <fileRecoveryPr autoRecover="0"/>
</workbook>
</file>

<file path=xl/calcChain.xml><?xml version="1.0" encoding="utf-8"?>
<calcChain xmlns="http://schemas.openxmlformats.org/spreadsheetml/2006/main">
  <c r="D42" i="9" l="1"/>
  <c r="D34" i="9"/>
  <c r="D42" i="2"/>
  <c r="D34" i="2"/>
  <c r="D6" i="2" l="1"/>
  <c r="D25" i="9" l="1"/>
  <c r="D6" i="9" l="1"/>
  <c r="C17" i="8" l="1"/>
  <c r="C15" i="8"/>
  <c r="C16" i="8"/>
  <c r="C13" i="8"/>
  <c r="C14" i="8"/>
  <c r="C10" i="8"/>
  <c r="C9" i="8"/>
  <c r="C8" i="8"/>
  <c r="C7" i="8"/>
  <c r="D7" i="8" s="1"/>
  <c r="C6" i="8"/>
  <c r="D16" i="9"/>
  <c r="D17" i="9" s="1"/>
  <c r="D43" i="9"/>
  <c r="D44" i="9" s="1"/>
  <c r="D45" i="9" s="1"/>
  <c r="D46" i="9" s="1"/>
  <c r="D47" i="9" s="1"/>
  <c r="D48" i="9" s="1"/>
  <c r="C41" i="9" s="1"/>
  <c r="D35" i="9"/>
  <c r="D36" i="9" s="1"/>
  <c r="D37" i="9" s="1"/>
  <c r="D38" i="9" s="1"/>
  <c r="D39" i="9" s="1"/>
  <c r="D40" i="9" s="1"/>
  <c r="C33" i="9" s="1"/>
  <c r="D26" i="9"/>
  <c r="D27" i="9" s="1"/>
  <c r="D7" i="9"/>
  <c r="D25" i="2"/>
  <c r="D26" i="2" s="1"/>
  <c r="D16" i="2"/>
  <c r="D17" i="2" s="1"/>
  <c r="D43" i="2"/>
  <c r="D44" i="2" s="1"/>
  <c r="D35" i="2"/>
  <c r="D36" i="2" s="1"/>
  <c r="D37" i="2" s="1"/>
  <c r="D38" i="2" s="1"/>
  <c r="D39" i="2" s="1"/>
  <c r="D40" i="2" s="1"/>
  <c r="D7" i="2"/>
  <c r="D18" i="9" l="1"/>
  <c r="D19" i="9" s="1"/>
  <c r="D20" i="9" s="1"/>
  <c r="D21" i="9" s="1"/>
  <c r="D22" i="9" s="1"/>
  <c r="D23" i="9" s="1"/>
  <c r="C15" i="9" s="1"/>
  <c r="D28" i="9"/>
  <c r="D29" i="9" s="1"/>
  <c r="D30" i="9" s="1"/>
  <c r="D31" i="9" s="1"/>
  <c r="D32" i="9" s="1"/>
  <c r="C24" i="9" s="1"/>
  <c r="D8" i="9"/>
  <c r="D9" i="9" s="1"/>
  <c r="D10" i="9" s="1"/>
  <c r="D27" i="2"/>
  <c r="D28" i="2" s="1"/>
  <c r="D29" i="2" s="1"/>
  <c r="D30" i="2" s="1"/>
  <c r="D31" i="2" s="1"/>
  <c r="D32" i="2" s="1"/>
  <c r="C24" i="2" s="1"/>
  <c r="D18" i="2"/>
  <c r="D19" i="2" s="1"/>
  <c r="D20" i="2" s="1"/>
  <c r="D21" i="2" s="1"/>
  <c r="D22" i="2" s="1"/>
  <c r="D23" i="2" s="1"/>
  <c r="C15" i="2" s="1"/>
  <c r="D45" i="2"/>
  <c r="D46" i="2" s="1"/>
  <c r="D47" i="2" s="1"/>
  <c r="D48" i="2" s="1"/>
  <c r="C41" i="2" s="1"/>
  <c r="C33" i="2"/>
  <c r="D8" i="2"/>
  <c r="D9" i="2" s="1"/>
  <c r="D10" i="2" s="1"/>
  <c r="D11" i="2" s="1"/>
  <c r="D12" i="2" s="1"/>
  <c r="D13" i="2" s="1"/>
  <c r="D14" i="2" s="1"/>
  <c r="C5" i="2" s="1"/>
  <c r="C4" i="2" l="1"/>
  <c r="D11" i="9"/>
  <c r="D12" i="9" s="1"/>
  <c r="D13" i="9" s="1"/>
  <c r="D14" i="9" l="1"/>
  <c r="C5" i="9" s="1"/>
  <c r="C4" i="9" s="1"/>
  <c r="D59" i="9" l="1"/>
  <c r="D13" i="8" l="1"/>
  <c r="E13" i="8" s="1"/>
  <c r="F13" i="8" s="1"/>
  <c r="D16" i="8"/>
  <c r="E16" i="8" s="1"/>
  <c r="F16" i="8" s="1"/>
  <c r="D17" i="8"/>
  <c r="E17" i="8" s="1"/>
  <c r="F17" i="8" s="1"/>
  <c r="D15" i="8"/>
  <c r="E15" i="8" s="1"/>
  <c r="F15" i="8" s="1"/>
  <c r="D14" i="8"/>
  <c r="B18" i="8"/>
  <c r="D10" i="8"/>
  <c r="E10" i="8" s="1"/>
  <c r="F10" i="8" s="1"/>
  <c r="D9" i="8"/>
  <c r="E9" i="8" s="1"/>
  <c r="F9" i="8" s="1"/>
  <c r="D8" i="8"/>
  <c r="E8" i="8" s="1"/>
  <c r="F8" i="8" s="1"/>
  <c r="E7" i="8"/>
  <c r="F7" i="8" s="1"/>
  <c r="B11" i="8"/>
  <c r="B4" i="9"/>
  <c r="B4" i="2"/>
  <c r="D12" i="13"/>
  <c r="E12" i="13" s="1"/>
  <c r="D11" i="13"/>
  <c r="D10" i="13"/>
  <c r="D8" i="13"/>
  <c r="E8" i="13" s="1"/>
  <c r="D7" i="13"/>
  <c r="D6" i="13"/>
  <c r="A57" i="2"/>
  <c r="A57" i="9" s="1"/>
  <c r="A56" i="2"/>
  <c r="A56" i="9" s="1"/>
  <c r="A55" i="2"/>
  <c r="A55" i="9" s="1"/>
  <c r="A54" i="2"/>
  <c r="A54" i="9" s="1"/>
  <c r="A53" i="2"/>
  <c r="A53" i="9" s="1"/>
  <c r="A52" i="2"/>
  <c r="A52" i="9" s="1"/>
  <c r="A51" i="2"/>
  <c r="A51" i="9" s="1"/>
  <c r="A50" i="2"/>
  <c r="A50" i="9" s="1"/>
  <c r="AI6" i="10"/>
  <c r="AI8" i="10"/>
  <c r="AI9" i="10"/>
  <c r="AI10" i="10"/>
  <c r="AI11" i="10"/>
  <c r="AI12" i="10"/>
  <c r="AI13" i="10"/>
  <c r="AI14" i="10"/>
  <c r="AI15" i="10"/>
  <c r="AI16" i="10"/>
  <c r="AI5" i="10"/>
  <c r="X5" i="10"/>
  <c r="X6" i="10"/>
  <c r="X8" i="10"/>
  <c r="X9" i="10"/>
  <c r="X10" i="10"/>
  <c r="X11" i="10"/>
  <c r="X12" i="10"/>
  <c r="X13" i="10"/>
  <c r="X14" i="10"/>
  <c r="X15" i="10"/>
  <c r="X16" i="10"/>
  <c r="M6" i="10"/>
  <c r="M7" i="10"/>
  <c r="AJ7" i="10" s="1"/>
  <c r="M8" i="10"/>
  <c r="M9" i="10"/>
  <c r="M10" i="10"/>
  <c r="M11" i="10"/>
  <c r="M12" i="10"/>
  <c r="M13" i="10"/>
  <c r="M14" i="10"/>
  <c r="M15" i="10"/>
  <c r="M16" i="10"/>
  <c r="M5" i="10"/>
  <c r="A59" i="9"/>
  <c r="AJ6" i="10" l="1"/>
  <c r="C55" i="9" s="1"/>
  <c r="E10" i="13"/>
  <c r="AJ15" i="10"/>
  <c r="AJ10" i="10"/>
  <c r="AJ14" i="10"/>
  <c r="D18" i="8"/>
  <c r="AJ16" i="10"/>
  <c r="AJ12" i="10"/>
  <c r="C11" i="8"/>
  <c r="AJ8" i="10"/>
  <c r="AJ11" i="10"/>
  <c r="G10" i="13"/>
  <c r="C59" i="9" s="1"/>
  <c r="E6" i="13"/>
  <c r="G6" i="13" s="1"/>
  <c r="C59" i="2" s="1"/>
  <c r="E14" i="8"/>
  <c r="F14" i="8" s="1"/>
  <c r="F18" i="8" s="1"/>
  <c r="AJ13" i="10"/>
  <c r="AJ9" i="10"/>
  <c r="AJ5" i="10"/>
  <c r="C18" i="8"/>
  <c r="D6" i="8"/>
  <c r="E6" i="8" s="1"/>
  <c r="C55" i="2" l="1"/>
  <c r="C58" i="9"/>
  <c r="C52" i="9"/>
  <c r="C52" i="2"/>
  <c r="C51" i="9"/>
  <c r="C51" i="2"/>
  <c r="C53" i="9"/>
  <c r="C53" i="2"/>
  <c r="C54" i="9"/>
  <c r="C54" i="2"/>
  <c r="C56" i="9"/>
  <c r="C56" i="2"/>
  <c r="C50" i="9"/>
  <c r="C50" i="2"/>
  <c r="C57" i="9"/>
  <c r="C57" i="2"/>
  <c r="E18" i="8"/>
  <c r="D11" i="8"/>
  <c r="C49" i="9" l="1"/>
  <c r="C60" i="9" s="1"/>
  <c r="E11" i="8"/>
  <c r="F6" i="8"/>
  <c r="F11" i="8" s="1"/>
  <c r="C58" i="2" l="1"/>
  <c r="C49" i="2" s="1"/>
  <c r="B60" i="2" s="1"/>
</calcChain>
</file>

<file path=xl/sharedStrings.xml><?xml version="1.0" encoding="utf-8"?>
<sst xmlns="http://schemas.openxmlformats.org/spreadsheetml/2006/main" count="358" uniqueCount="154">
  <si>
    <t>3.1. pielikums</t>
  </si>
  <si>
    <t>Pakalpojuma "Grupu mājas (dzīvokļa) personām ar garīga rakstura traucējumiem" apraksts</t>
  </si>
  <si>
    <t>Pakalpojuma mērķis</t>
  </si>
  <si>
    <t>Grupu māja (dzīvoklis) ir atsevišķs dzīvoklis vai māja, kurā personām ar garīga rakstura traucējumiem nodrošina mājokli un individuālu atbalstu sociālo problēmu risināšanā.</t>
  </si>
  <si>
    <t>Pakalpojuma saturs un apjoms klientiem ar vidēji smagiem funkcionālajiem traucējumiem  (nav nepieciešams atbalsts pašaprūpē)</t>
  </si>
  <si>
    <t xml:space="preserve">Klientam saskaņā ar Ministru kabineta 2017. gada 13. jūnija noteikumiem Nr. 338 "Prasības sociālo pakalpojumu sniedzējiem" (turpmāk - MK noteikumi Nr. 338) 82. punktu nodrošina:
- diennakts uzraudzību;
- sadzīves iemaņu uzturēšanu vai korekciju;
- atbalstu pašaprūpē;
- sociālo prasmju pilnveidi;
- atbalstu darba meklēšanā un izpratnes par darba attiecībām veidošanu;
- sabiedrībai pieņemamu saskarsmes iemaņu apgūšanu;
- atbalstu fiziski aktīva dzīvesveida veicināšanai;
- sociālā darbinieka individuālās konsultācijas. </t>
  </si>
  <si>
    <t>Pakalpojuma saturs un apjoms klientiem ar smagiem un ļoti smagiem funkcionālajiem traucējumiem un klientiem ar ierobežotu rīcībspēju (nepieciešams atbalsts pašaprūpē)</t>
  </si>
  <si>
    <t>Klientam saskaņā ar MK noteikumiem Nr. 338 83. punktu nodrošina:
- diennakts uzraudzību;
- palīdzību un atbalstu pašaprūpē, vai, ja nepieciešams, sociālo aprūpi; 
- sadzīves iemaņu apgūšanu un uzturēšanu;
- sociālo prasmju pilnveidi;
- sabiedrībai pieņemamu saskarsmes iemaņu apgūšanu;
- sociālā darbinieka individuālās konsultācijas.</t>
  </si>
  <si>
    <t>Īpašie nosacījumi</t>
  </si>
  <si>
    <t xml:space="preserve">Grupu mājā (dzīvoklī) klientam tiek veidota izpratne par normālu dienas ritmu, t.i., darba dienās dienas laikā klients ir nodarbināts (stādā algotu darbu brīvā darba tirgū, sociālajā uzņēmumā, subsidētajā darbā vietā, u.tml.), ir algota darba meklējumos, apgūst arodu vai kvalifikāciju, apmeklē specializētās darbnīcas, apmeklē dienas aprūpes centru, un tamlīdzīgi. Pilnu darba dienu klients var uzturēties grupu mājā brīvdienās un svētku dienās, saslimšanas gadījumā vai ir cits dibināts iemesls, kāpēc klientam nav pasākumu vai nodarbību ārpus mājas.
Ja grupu mājas klients persona nav iesaistīts aktivitātēs ārpus grupu mājas (dzīvokļa) pakalpojuma, klientam tiek nodrošināti pasākumi atbilstoši individuālajam sociālās rehabilitācijas plānam, organizējot praktisko iemaņu apguvi, atbalstu integrācijai sabiedrībā un darba tirgū. 
Grupu mājas pakalpojuma izmaksas uz vienu personu ir aprēķinātas, vadoties no situācijas, ka vienā grupu mājā pakalpojumu saņem ne vairāk kā 16 klienti. Grupu māja saņem aprēķināto vienas dienas izmaksu summu atbilstoši personu skaitam un darba dienu skaitam.
</t>
  </si>
  <si>
    <t>3.2.pielikums</t>
  </si>
  <si>
    <t>Pakalpojuma "Grupu mājas personām ar garīga rakstura traucējumiem bez aprūpes" vienības izmaksu standarta likmes aprēķins</t>
  </si>
  <si>
    <t xml:space="preserve"> Slodze</t>
  </si>
  <si>
    <t>Izmaksas                         1 klientam                dienā</t>
  </si>
  <si>
    <t>Aprēķins</t>
  </si>
  <si>
    <t>Aprēķinu paskaidrojums</t>
  </si>
  <si>
    <t>Pienākumu apraksts</t>
  </si>
  <si>
    <t>Atlīdzības izmaksas kopā</t>
  </si>
  <si>
    <t>Gadā 1720 darba stundas, t.sk. 143.3 darba stundas mēnesī.</t>
  </si>
  <si>
    <t>Aprūpētājs uz 16 klientiem   
*viens aprūpētājs 14 h darba dienā ** viens aprūpētājs 24 h brīvdienās</t>
  </si>
  <si>
    <t>mēnešalgas bāze</t>
  </si>
  <si>
    <t xml:space="preserve">Pienākumi: (1) nodrošināt klientu uzraudzību brīvdienās un svētku dienās, kā arī nakts laikā; (2) pārbaudīt, vai klienti ir lietojuši zāles, ja tādas ir ordinētas. </t>
  </si>
  <si>
    <t>piemaksa 25%</t>
  </si>
  <si>
    <t>mēnešalgas bāze un piemaksa 25%</t>
  </si>
  <si>
    <t>VSAOI 23.59%</t>
  </si>
  <si>
    <t>atlīdzība mēnesī (1 slodze)</t>
  </si>
  <si>
    <t>atlīdzība gadā (1 slodze 16 klienti)</t>
  </si>
  <si>
    <t>atlīdzība stundā (1 slodze 16 klienti)</t>
  </si>
  <si>
    <t>atlīdzība stundā (1 slodze 1 klients)</t>
  </si>
  <si>
    <t>atlīdzība mēnesī  (3.56 slodze 1 klients)</t>
  </si>
  <si>
    <t>atlīdzība dienā (3.56 slodze 1 klients)</t>
  </si>
  <si>
    <t>Sociālais aprūpētājs vai sociālais rehabilitētājs (6 h darba dienā)</t>
  </si>
  <si>
    <r>
      <t xml:space="preserve">Pienākumi:
</t>
    </r>
    <r>
      <rPr>
        <b/>
        <sz val="11"/>
        <rFont val="Times New Roman"/>
        <family val="1"/>
        <charset val="186"/>
      </rPr>
      <t>Sociālais rehabilitētājs</t>
    </r>
    <r>
      <rPr>
        <sz val="11"/>
        <rFont val="Times New Roman"/>
        <family val="1"/>
        <charset val="186"/>
      </rPr>
      <t xml:space="preserve"> - (1) ievākt informāciju par klienta vajadzībām un novērtēt viņa sociālās iemaņas; (2) palīdzēt klientiem uzlabot viņu sociālās funkcionēšanas spējas; (3) novērtēt, kā mainās klienta sociālā funkcionēšana, palīdzēt sociālajam darbiniekam sadarbībā ar citiem speciālistiem izstrādāt un īstenot klientu individuālos sociālās rehabilitācijas plānus; (4) palīdzēt klientam atrast risinājuma variantus sociālo problēmu gadījumos; (5) palīdzēt klientam atrast un piekļūt dažāda veida resursiem; (6) palīdzēt klientam uzlabot esošās un apgūt jaunas sociālās prasmes; (7) skaidrot informāciju un palīdzēt izmantot informācijas tehnoloģijas; (8) palīdzēt plānot brīvo laiku.
</t>
    </r>
    <r>
      <rPr>
        <b/>
        <sz val="11"/>
        <rFont val="Times New Roman"/>
        <family val="1"/>
        <charset val="186"/>
      </rPr>
      <t>Sociālais aprūpētājs</t>
    </r>
    <r>
      <rPr>
        <sz val="11"/>
        <rFont val="Times New Roman"/>
        <family val="1"/>
        <charset val="186"/>
      </rPr>
      <t xml:space="preserve"> - (1) ievākt informāciju par klienta vajadzībām un novērtēt viņa pašaprūpes iemaņas; (2) palīdzēt personām ar funkcionāliem traucējumiem uzlabot funkcionēšanas iemaņas; (3) novērtēt, kā mainās klienta iespējas aprūpēt sevi, un attiecīgi mainīt sociālās aprūpes pakalpojumu kompleksa apjomu un saturu; (4) palīdzēt sociālajam darbiniekam sadarbībā ar citiem speciālistiem izstrādāt un īstenot klientu individuālos sociālās aprūpes plānus; palīdzēt klientam atrast un piekļūt dažāda veida resursiem; (5) palīdzēt klientam uzlabot esošās un apgūt jaunas aprūpes prasmes; (6) palīdzēt izmantot tehniskos līdzekļus.</t>
    </r>
  </si>
  <si>
    <t>atlīdzība gadā</t>
  </si>
  <si>
    <t>atlīdzība stundā</t>
  </si>
  <si>
    <t>atlīdzība darba dienā (6 h 16 klienti)</t>
  </si>
  <si>
    <t>atlīdzība darba dienā (6 h 1 klients)</t>
  </si>
  <si>
    <t xml:space="preserve">Sociālais darbinieks
(4 h darba dienā) </t>
  </si>
  <si>
    <t>Pienākumi: (1) vadīt klienta sociālo problēmu risināšanu, piesaistot nepieciešamos speciālistus; (2) strādāt ar klientu individuāli vai grupā, lai  identificētu sociālo problēmu un noteiktu atbalsta veidus; (3) analizēt klienta sociālo problēmu un palīdzēt rast problēmu risinājuma iespējas; (4) nodrošināt klienta sociālā atbalsta tīkla veidošanu; (5) strādāt ar grupu, lai palīdzētu klientam attīstīt nepieciešamās prasmes; (6) aizstāvēt klientu intereses un tiesības; (7) veidot sadarbību ar citām institūcijām.</t>
  </si>
  <si>
    <t>atlīdzība dienā (4 h 16 klienti)</t>
  </si>
  <si>
    <t>atlīdzība dienā (4 h 1 klients)</t>
  </si>
  <si>
    <t>GM vadītājs</t>
  </si>
  <si>
    <t>Pienākumi: (1) vadīt struktūrvienības darbu; (2) pārraudzīt citu darbinieku darbu; (3) iesaistīties sarežģītu problēmu risināšanā.</t>
  </si>
  <si>
    <t>atlīdzība mēnesī (0.5 slodzes)</t>
  </si>
  <si>
    <t>atlīdzība darba dienā (16 klienti)</t>
  </si>
  <si>
    <t>atlīdzība darba dienā (1 klients)</t>
  </si>
  <si>
    <t xml:space="preserve">  GM grāmatvedis</t>
  </si>
  <si>
    <t>Pienākumi:  (1) gatavot pārskatus grāmatvedības jomā, veikt tiem nepieciešamos aprēķinus; (2) piedalīties gada un ceturkšņa pārskatu sastādīšanā; (3) veikt pilnu grāmatvedības uzskaiti iestādē.</t>
  </si>
  <si>
    <t>atlīdzība mēnesī (0.2 slodzes)</t>
  </si>
  <si>
    <t>Ar pakalpojuma  administrēšanu, prasību nodrošināšanu un uzturēšanu saistītās izmaksas  kopā</t>
  </si>
  <si>
    <t>Inflācija % [1]</t>
  </si>
  <si>
    <t>Vidējās izmaksas aprēķinātas saskaņā ar 10 GM iesniegtajām izmaksu tāmēm par 2014., 2015. un 2016. gadu. Saskaņā ar pakalpojumu sniedzēju sniegto informāciju GM klientam netiek piedāvāti ēdināšanas pakalpojumi un mācību materiāli. Līdz ar to grozā nav ieliktas minētās izmaksas. Aprēķinu skat. 3.4. pielikumā.</t>
  </si>
  <si>
    <t>Telpu īres izmaksas, komunālie pakalpojumi (apkure, ūdens un kanalizācija, elektrība, gāze, atkritumu izvešana) un uzturēšanas pakalpojumi (apdrošināšana, signalizācijas sistēmu uzstādīšana, remontdarbu pakalpojumi).</t>
  </si>
  <si>
    <t xml:space="preserve">Darba devēja apmaksātie veselības apdrošināšanas izdevumi </t>
  </si>
  <si>
    <t>Aprēķinu skat. 3.5. pielikumā</t>
  </si>
  <si>
    <t>Supervīzija</t>
  </si>
  <si>
    <t>Aprēķinu skat. 3.6. pielikumā.
Obligātās supervīzijas prasības sociālo pakalpojumu sniedzējiem noteiktas Ministru kabineta 2017. gada 13. jūnija noteikumu Nr. 338 9.2. apakšpunktā un 186. punktā.</t>
  </si>
  <si>
    <t>Kopā:</t>
  </si>
  <si>
    <t>[1] Administratīvās izmaksas indeksētas, piemērojot inflācijas % patēriņa grupai "0 VISAS PRECES UN PAKALPOJUMI" no 2017. gada janvāra atbilstoši CSP datiem (https://tools.csb.gov.lv/cpi_calculator/lv/2017M01-2022M08/0/100).</t>
  </si>
  <si>
    <t>3.3. pielikums</t>
  </si>
  <si>
    <r>
      <t xml:space="preserve">Pakalpojuma "Grupu mājas </t>
    </r>
    <r>
      <rPr>
        <b/>
        <sz val="11"/>
        <color indexed="8"/>
        <rFont val="Times New Roman"/>
        <family val="1"/>
        <charset val="186"/>
      </rPr>
      <t>personām ar garīga rakstura traucējumiem ar aprūpi"  vienības izmaksu standarta likmes aprēķins</t>
    </r>
  </si>
  <si>
    <t>Aprūpētājs
*viens aprūpētājs 16 stundas darba dienā, divi aprūpētāji 6 stundas darba dienā; 
** viens aprūpētājs 24 stundas brīvdienās un divi aprūpētāji 14 stundas brīvdienās</t>
  </si>
  <si>
    <t>Pienākumi: 
Aprūpētājs - nakts dežurants: (1) nodrošināt klientu uzraudzību brīvdienās un svētku dienās, kā arī nakts laikā; (2) pārbaudīt, vai klienti ir lietojuši zāles, ja tādas ir ordinētas. 
Aprūpētājs: (1) palīdzēt personām, kuras pašas sevi nevar aprūpēt, t.i., palīdzēt apgulties vai piecelties no gultas; (2) palīdzēt apģērbties, nomazgāties; (3) apmainīt gultas veļu; (4) sagatavot un uzņemt ēdienu; (5) pasniegt ēdienu un, ja nepieciešams, pabarot; (6) uzraudzīt medikamentu lietošanu; (7) pavadīt dažādu institūciju un pasākumu apmeklēšanas laikā; (8) apkopt telpas ar rokām vai putekļsūcēju; (9) mazgāt grīdas; (10) gludināt veļu; (11) palīdzēt maksāt par dzīvokļa īri un komunālajiem pakalpojumiem; (12) palīdzēt pirkt pārtikas produktus un citas saimniecībā nepieciešamās preces; (13) veikt starpnieka funkcijas.</t>
  </si>
  <si>
    <t>atlīdzība mēnesī (7.37 slodzes 1 klients)</t>
  </si>
  <si>
    <t>atlīdzība dienā (7.37 slodzes 1 klients)</t>
  </si>
  <si>
    <t>Pienākumi:
Sociālais rehabilitētājs - (1) ievākt informāciju par klienta vajadzībām un novērtēt viņa sociālās iemaņas; (2) palīdzēt klientiem uzlabot viņu sociālās funkcionēšanas spējas; (3) novērtēt, kā mainās klienta sociālā funkcionēšana, palīdzēt sociālajam darbiniekam sadarbībā ar citiem speciālistiem izstrādāt un īstenot klientu individuālos sociālās rehabilitācijas plānus; (4) palīdzēt klientam atrast risinājuma variantus sociālo problēmu gadījumos; (5) palīdzēt klientam atrast un piekļūt dažāda veida resursiem; (6) palīdzēt klientam uzlabot esošās un apgūt jaunas sociālās prasmes; (7) skaidrot informāciju un palīdzēt izmantot informācijas tehnoloģijas; (8) palīdzēt organizēt brīvo laiku.
Sociālais aprūpētājs - (1) ievākt informāciju par klienta vajadzībām un novērtēt viņa pašaprūpes iemaņas; (2) palīdzēt personām ar funkcionāliem traucējumiem uzlabot funkcionēšanas iemaņas; (3) novērtēt, kā mainās klienta iespējas aprūpēt sevi, un attiecīgi mainīt sociālās aprūpes pakalpojumu kompleksa apjomu un saturu; (4) palīdzēt sociālajam darbiniekam sadarbībā ar citiem speciālistiem izstrādāt un īstenot klientu individuālos sociālās aprūpes plānus; palīdzēt klientam atrast un piekļūt dažāda veida resursiem; (5) palīdzēt klientam uzlabot esošās un apgūt jaunas aprūpes prasmes; (6) palīdzēt izmantot tehniskos līdzekļus.</t>
  </si>
  <si>
    <t>Vidējās izmaksas aprēķinātas saskaņā ar 10 GM iesniegtajām izmaksu tāmēm par 2014., 2015. un 2016. gadu. Saskaņā ar pakalpojumu sniedzēju sniegto informāciju GM klientam netiek piedāvāti ēdināšanas pakalpojumi un mācību materiāli. Līdz ar to grozā nav ieliktas minētās izmaksas. Aprēķinu skatīt 3.4. pielikumā.</t>
  </si>
  <si>
    <t>Aprēķinu skatīt 3.5. pielikumā</t>
  </si>
  <si>
    <t>3.4. pielikums</t>
  </si>
  <si>
    <t>Pakalpojuma "Grupu mājas personām ar garīga rakstura traucējumiem"  sniedzēju izmaksu apkopojums un vidējo izmaksu aprēķins</t>
  </si>
  <si>
    <t>Izmaksas uz vienu klientu dienā 2014. gadā, euro</t>
  </si>
  <si>
    <t>Vidēji</t>
  </si>
  <si>
    <t>Izmaksas uz vienu klientu dienā 2015. gadā, euro</t>
  </si>
  <si>
    <t>Izmaksas uz vienu klientu dienā 2016. gadā, euro</t>
  </si>
  <si>
    <t>Vidēji (kopā)</t>
  </si>
  <si>
    <t>Nr. p.k.</t>
  </si>
  <si>
    <t>Izdevumu pozīcija</t>
  </si>
  <si>
    <t>GDz1</t>
  </si>
  <si>
    <t>GDz2</t>
  </si>
  <si>
    <t>GDz3</t>
  </si>
  <si>
    <t>GDz4</t>
  </si>
  <si>
    <t>GDz5</t>
  </si>
  <si>
    <t>GDz6</t>
  </si>
  <si>
    <t>GDz7</t>
  </si>
  <si>
    <t>GDz8</t>
  </si>
  <si>
    <t>GDz9</t>
  </si>
  <si>
    <t>GDz10*</t>
  </si>
  <si>
    <t>Atlīdzība**</t>
  </si>
  <si>
    <t>Sakaru pakalpojumi (telefons, internets, pasts)</t>
  </si>
  <si>
    <t>Ēdināšanas izdevumi***</t>
  </si>
  <si>
    <t>-</t>
  </si>
  <si>
    <t>Saimniecības un higiēnas preces</t>
  </si>
  <si>
    <t>Mācību materiāli un līdzekļi***</t>
  </si>
  <si>
    <t>Kancelejas preces un biroja preces</t>
  </si>
  <si>
    <t>Transports (degviela, īre, apkope, adrošināšana u.c.)</t>
  </si>
  <si>
    <t>Telpas (īre, komunālie maksājumi, uzturēšanas pasākumi)</t>
  </si>
  <si>
    <t>Darba devēja apmaksātie veselības izdevumi</t>
  </si>
  <si>
    <t>Darbinieku izglītības izdevumi</t>
  </si>
  <si>
    <t>Ar admin.darbību saistītie izdevumi (darba aizsardz.sist.uzturēš.pak., bankas konta apkalp. u.c.)</t>
  </si>
  <si>
    <t>Saimnieciskie pamatlīdzekļi,  inventārs, inventāra remonts (materiāli un pakalpojums)</t>
  </si>
  <si>
    <t>Informācija iegūta no pašvaldībām un pašvaldību pakalpojumu sniedzējiem / no Sociālo pakalpojumu sniedzēju reģistrā reģistrētajiem 17 pakalpojumu sniedzējiem informācija iegūta no 10.</t>
  </si>
  <si>
    <t>* SIA "Bērnu Oāze" grupu dzīvoklis Zilupes novada Lauderu pagastā ir likvidēts ar 14.12.2015. 2016.gadā kolonnā GDz10 tiek atspoguļotas biedrības "Rīgas pilsētas Rūpju bērns" grupu dzīvokļa vidējās izmaksas uz 1 klientu (Sociālo pakalpojumu reģistrā reģistrēts ar 26.11.2015.)</t>
  </si>
  <si>
    <t>** Atlīdzība - pakalpojuma sniedzēju izmaksu apkopojums un vidējo izmaksu aprēķins netiek iekļauts vienas vienības izmaksu standara likmes aprēķinā, jo darbinieku atlīdzība aprēķināta saskaņā ar MK 26.04.2022. noteikumiem Nr. 262 (skat. 3.2 un 3.3. pielikumu).</t>
  </si>
  <si>
    <t>*** Ēdināšanas, mācību materiālu un līdzekļu izdevumi netiek iekļauti vienas vienības likmes aprēķinā. Saskaņā ar Sociālo pakalpojumu un sociālās palīdzības likuma 1. panta 5. punktu  grupu māja (dzīvoklis) ir māja vai atsevišķs dzīvoklis, kurā personai ar garīga rakstura traucējumiem nodrošina mājokli, individuālu atbalstu sociālo problēmu risināšanā un, ja nepieciešams, sociālo aprūpi.  Līdz ar to grupu mājas (dzīvokļa) pakalpojuma sniedzējs klientam nodrošina tikai likumā noteikto pakalpojumu apjomu (izīrē dzīvojamo platību, sniedz konsultācijas un pakalpojumus, kas mazina garīgā rakstura traucējumu ietekmi uz personas patstāvīgu funkcionēšanu, sniedz atbalstu aprūpē utml) , bet  nesedz izdevumus un nenodrošina pakalpojumus, kas veidojas klientam viņa personīgo vajadzību apmierināšanai - ēdiens, apģērbs, mājoklis, veselības aprūpe, izglītība. Minētos pakalpojumus vai atbalstu to saņemšanā grupu mājas klients, tāpat kā jebkurš cits Latvijas iedzīvotājs,  izmanto citus resursus - veselības aprūpes un izglītības sistēmas pakalpojumus, cita veida sociālos pakalpojumus un sociālo palīdzību, atbilstoši ārējiem normatīvajiem aktiem un pašvaldības saistošajos noteikumos noteiktajai kārtībai.</t>
  </si>
  <si>
    <t>3.5. pielikums</t>
  </si>
  <si>
    <t>Veselības apdrošināšanas izmaksu aprēķins  pakalpojumam "Grupu mājas personām ar garīga rakstura traucējumiem"</t>
  </si>
  <si>
    <t>Pakalpojumi/speciālisti</t>
  </si>
  <si>
    <t xml:space="preserve">Klientu skaits, kam plānots sniegt pakalpojumu </t>
  </si>
  <si>
    <t xml:space="preserve">Speciālistu (slodžu) skaits </t>
  </si>
  <si>
    <t>Veselības apdrošināšanas izmaksas gadā, euro*</t>
  </si>
  <si>
    <t>Veselības apdrošināšanas izmaksas uz 1 klientu gadā, euro</t>
  </si>
  <si>
    <t>Veselības apdrošināšanas izmaksas par 1 klientu dienā, euro</t>
  </si>
  <si>
    <t>4=3*213.43 euro</t>
  </si>
  <si>
    <t>5=4/2</t>
  </si>
  <si>
    <t xml:space="preserve">6= 5/365 dienas </t>
  </si>
  <si>
    <t>Pakalpojuma "Grupu māja personām ar garīga rakstura traucējumiem bez aprūpes"aprēķini (1 un 2 līmenis)</t>
  </si>
  <si>
    <t>sociālais darbinieks</t>
  </si>
  <si>
    <t>aprūpētājs</t>
  </si>
  <si>
    <t>sociālais aprūpētājs/ sociālais rehabilitētājs</t>
  </si>
  <si>
    <t>grāmatvedis</t>
  </si>
  <si>
    <t>Pakalpojuma "Grupu māja personām ar garīga rakstura traucējumiem ar aprūpi" aprēķini (3 un 4 līmenis)</t>
  </si>
  <si>
    <t>[1] Likuma par iedzīvotāju ienākuma nodokli 8. panta 5. daļa nosaka, ka " No maksātāja ienākumiem, par kuriem maksā algas nodokli [...] veselības vai nelaimes gadījumu apdrošināšanas prēmiju summas, kas nepārsniedz 10 procentus no maksātājam aprēķinātās bruto darba samaksas taksācijas gadā, bet ne vairāk kā 426.86 euro gadā [...]" un savukārt  Valsts un pašvaldību institūciju amatpersonu un darbinieku atlīdzības likumā paredzētās normas (37. pants 1.; 2. daļa, kas spēkā līdz 16.11.2021. grozījumiem) nosaka, ka Veselības apdrošināšanas polises (polises cena nedrīkst pārsniegt normatīvajos aktos par iedzīvotāju ienākuma nodokli noteikto apmēru. Šā panta trešajā, ceturtajā, piektajā vai sestajā daļā neminētas amatpersonas (darbinieka) veselības apdrošināšanas polises cena nedrīkst pārsniegt pusi no normatīvajos aktos par iedzīvotāju ienākuma nodokli noteiktā apmēra. Ja apdrošināšanas polises cena pārsniedz minēto apmēru, amatpersona (darbinieks) sedz cenu starpību) – puse 213.43 euro. Darbinieku apdrošināšanas izmaksu apmērs saglabāts iepriekšējā apmērā (atbilstoši Valsts un pašvaldību institūciju amatpersonu un darbinieku atlīdzības likumam, kas spēkā līdz 30.07.2022.), bet indeksējot ar inflācijas %.</t>
  </si>
  <si>
    <t>3.6. pielikums</t>
  </si>
  <si>
    <t>Supervīzijas izmaksu aprēķins pakalpojumam "Grupu mājas personām ar garīga rakstura traucējumiem"</t>
  </si>
  <si>
    <t>Speciālists</t>
  </si>
  <si>
    <t>Supervīzijas cena vienam darbiniekam, euro/gadā*</t>
  </si>
  <si>
    <t xml:space="preserve">Darba laiks gadā** </t>
  </si>
  <si>
    <t>Supervīzijas izmaksas par darba stundu (viens darbinieks)</t>
  </si>
  <si>
    <t>Vidējās supervīzijas izmaksas par darba stundu (viens darbinieks)</t>
  </si>
  <si>
    <t>Darbinieku skaits</t>
  </si>
  <si>
    <t>Vidējās supervīzijas izmaksas par darba stundu (visi darbinieki)***</t>
  </si>
  <si>
    <t>4=2/3</t>
  </si>
  <si>
    <t>5=4 (vidējais)</t>
  </si>
  <si>
    <t>7=5*6</t>
  </si>
  <si>
    <t>GM bez aprūpes</t>
  </si>
  <si>
    <t>Sociālā darba speciālists****</t>
  </si>
  <si>
    <t>Institūcijas un struktūrvienības vadītājs</t>
  </si>
  <si>
    <t>Pārējie darbinieki</t>
  </si>
  <si>
    <t>GM ar aprūpi</t>
  </si>
  <si>
    <t>* Supervīzijas cena vienam darbiniekam (euro/gadā) aprēķināta Ministru kabineta 2017. gada 13. jūnija noteikumu Nr. 338 "Prasības sociālo pakalpojumu sniedzējiem"  sākotnējās ietekmes novērtējuma ziņojuma (anotācijai) 6. pielikumā "Supervīzijas cenas aprēķins vienam darbiniekam".</t>
  </si>
  <si>
    <t>** Gada standarta darba laiks noteikts saskaņā ar Eiropas Parlamenta un Padomes Regulas (ES) Nr. 1303/2013 (2013. gada 17. decembris) "ar ko paredz kopīgus noteikumus par Eiropas Reģionālās attīstības fondu, Eiropas Sociālo fondu, Kohēzijas fondu, Eiropas Lauksaimniecības fondu lauku attīstībai un Eiropas Jūrlietu un zivsaimniecības fondu un vispārīgus noteikumus par Eiropas Reģionālās attīstības fondu, Eiropas Sociālo fondu, Kohēzijas fondu un Eiropas Jūrlietu un zivsaimniecības fondu un atceļ Padomes Regulu (EK) Nr. 1083/2006" 68. panta 2. punktu.</t>
  </si>
  <si>
    <t>*** Vidējās supervīzijas izmaksas darba stundā aprēķinātas GM bez aprūpes sešiem darbiniekiem un GM ar aprūpi deviņiem darbiniekiem, ņemot vērā, ka vienas vienības izmaksu standarta likmes aprēķinā pieņemts, ka pakalpojumu nodrošina visi darbinieki darbinieki, neieskaitot grāmatvedi (grāmatvedis neveic tiešu darbu ar klientu).</t>
  </si>
  <si>
    <t>**** Sociālā darba speciālisti - sociālais darbinieks, sociālais rehabilitētājs un sociālais aprūpētājs.</t>
  </si>
  <si>
    <t>3.7. pielikums</t>
  </si>
  <si>
    <t>Informācija par sociālo pakalpojumu sniedzējiem, kuru sniegtā informācija tika analizēta veidojot pakalpojuma "Grupu mājas personām ar garīga rakstura traucējumiem" izmaksas</t>
  </si>
  <si>
    <t>Informācija iegūta no pašvaldībām, pašvaldību sociālajiem dienestiem un  pašvaldību pakalpojumu sniedzējiem  (10 pakalpojumu sniedzējiem, kas veido 63 % no Sociālo pakalpojumu sniedzēju reģistrā reģistrētajiem grupu dzīvokļiem pilngadīgām personām ar garīga rakstura traucējumiem (kopā uz atlases brīdi Sociālo paklpojumu sniedzēju reģistrā bija reģistrēti 17 grupu māju pakalpojumu sniedzēji, no kuriem 1 netika pieprasīta informācija, jo tam reģistrētā klientu grupa bija bērni)) t.sk.:
1) Rīgas plānošanas reģions – biedrības "Rīgas pilsētas Rūpju bērns" 3 GDz Rīgā, nodibinājuma "Fonds KOPĀ" 1 GDz Rīgā, SIA "Bērnu Oāze" 1 GDz Rīgā, biedrības "Latvijas kustība par neatkarīgu dzīvi" 1 GDz Rīgā, biedrības "Latvijas Samariešu apvienība" 1 GDz Rīgā, pašvaldības aģentūras "Jūrmalas sociālās aprūpes centrs" 1 GDz Jūrmalā; 
2) Latgales plānošanas reģions – SIA "Bērnu Oāze" 1 GDz Zilupes novada Lauderu pagastā;  
3) Kurzemes plānošanas reģions – Liepājas pilsētas domes Sociālā dienesta 1 GDz Liepājā; 
4) Zemgales plānošanas reģions – pašvaldību iestādes "Jelgavas sociālo lietu pārvalde" 1GDz Jelgavā. 
Izmantotā izlasē tika pārstāvēti pakalpojumu sniedzēji no četriem plānošanas reģioniem.
Sākotnēji informācija par grupu māju pakalpojuma sniegšanas izmaksām tika pieprasīta no reģistrā reģistrētiem grupu māju pakalpojuma sniedzējiem, kuriem ir reģistrēta klientu grupa - personas ar garīga rakstura traucējumiem un pilngadīgas personas vai visu vecumu personas. Informācija tika pieprasīta elektroniski un sazinoties pa telefonu. Vienas vienības standarta likmes aprēķinā izmantoti dati no grupu māju pakalpojuma sniedzējiem, kuri atsaucās aicinājumam sniegt pieprasīto informāciju.</t>
  </si>
  <si>
    <r>
      <rPr>
        <b/>
        <sz val="11"/>
        <color theme="1"/>
        <rFont val="Times New Roman"/>
        <family val="1"/>
        <charset val="186"/>
      </rPr>
      <t>Aprūpētājs</t>
    </r>
    <r>
      <rPr>
        <sz val="11"/>
        <color theme="1"/>
        <rFont val="Times New Roman"/>
        <family val="1"/>
        <charset val="186"/>
      </rPr>
      <t xml:space="preserve"> saskaņā ar </t>
    </r>
    <r>
      <rPr>
        <sz val="11"/>
        <color rgb="FF0070C0"/>
        <rFont val="Times New Roman"/>
        <family val="1"/>
        <charset val="186"/>
      </rPr>
      <t>MK 26.04.2022. noteikumu Nr. 262</t>
    </r>
    <r>
      <rPr>
        <sz val="11"/>
        <color theme="1"/>
        <rFont val="Times New Roman"/>
        <family val="1"/>
        <charset val="186"/>
      </rPr>
      <t xml:space="preserve"> 106.1. apakšpunktu klasificējas 43.1. apakšsaimes I A līmenī - 4. mēnešalgu grupa.
Atbilstoši Valsts kancelejas pārskatam “Mēnešalgu skalu salīdzinājums” 4. mēnešalgu grupai </t>
    </r>
    <r>
      <rPr>
        <b/>
        <sz val="11"/>
        <color theme="1"/>
        <rFont val="Times New Roman"/>
        <family val="1"/>
        <charset val="186"/>
      </rPr>
      <t>viduspunkts 946 EUR</t>
    </r>
    <r>
      <rPr>
        <sz val="11"/>
        <color theme="1"/>
        <rFont val="Times New Roman"/>
        <family val="1"/>
        <charset val="186"/>
      </rPr>
      <t xml:space="preserve">.
Papildus aprūpētājs saskaņā ar </t>
    </r>
    <r>
      <rPr>
        <sz val="11"/>
        <color rgb="FF0070C0"/>
        <rFont val="Times New Roman"/>
        <family val="1"/>
        <charset val="186"/>
      </rPr>
      <t>MK 21.06.2022. notiekumu Nr. 361</t>
    </r>
    <r>
      <rPr>
        <sz val="11"/>
        <color theme="1"/>
        <rFont val="Times New Roman"/>
        <family val="1"/>
        <charset val="186"/>
      </rPr>
      <t xml:space="preserve"> 22. punktu saņem piemaksu līdz 25 % apmērā no noteiktās mēnešalgas (jo amata pienākumi pielīdzināti darbam ilgstošas sociālās aprūpes un sociālās rehabilitācijas institūcijas pieaugušām personām ar garīga rakstura traucējumiem).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
Slodžu aprēķins darba dienās (1 aprūpētājs uz 5-6 klientiem):
1) 21 darba diena * 16 h (plkst.: 16:00-08:00) = 336 h;
2) 336 h / 143.3 h = 2.34 slodzes
Slodžu aprēķins darba dienās (2 aprūpētāji):
4) 21 darba diena * 6 h (plkst.: 16:00-22:00) * 2 aprūpētāji = 252 h;</t>
    </r>
    <r>
      <rPr>
        <strike/>
        <sz val="11"/>
        <color theme="1"/>
        <rFont val="Times New Roman"/>
        <family val="1"/>
        <charset val="186"/>
      </rPr>
      <t xml:space="preserve">
</t>
    </r>
    <r>
      <rPr>
        <sz val="11"/>
        <color theme="1"/>
        <rFont val="Times New Roman"/>
        <family val="1"/>
        <charset val="186"/>
      </rPr>
      <t>5) 252 h / 143.3 h = 1.76 slodzes
Slodžu aprēķins brīvdienās (1 aprūpētājs):
6) 9 brīvdienas * 24 h = 216 h;</t>
    </r>
    <r>
      <rPr>
        <strike/>
        <sz val="11"/>
        <color theme="1"/>
        <rFont val="Times New Roman"/>
        <family val="1"/>
        <charset val="186"/>
      </rPr>
      <t xml:space="preserve">
</t>
    </r>
    <r>
      <rPr>
        <sz val="11"/>
        <color theme="1"/>
        <rFont val="Times New Roman"/>
        <family val="1"/>
        <charset val="186"/>
      </rPr>
      <t>7) 216 h / 143.3 h = 1.51 slodze
Slodžu aprēķins brīvdienās (2 aprūpētāji):
8) 9 brīvdienas * 14 h (plkst.: 08:00-22:00) * 2 aprūpētāji = 252 h;</t>
    </r>
    <r>
      <rPr>
        <strike/>
        <sz val="11"/>
        <color theme="1"/>
        <rFont val="Times New Roman"/>
        <family val="1"/>
        <charset val="186"/>
      </rPr>
      <t xml:space="preserve">
</t>
    </r>
    <r>
      <rPr>
        <sz val="11"/>
        <color theme="1"/>
        <rFont val="Times New Roman"/>
        <family val="1"/>
        <charset val="186"/>
      </rPr>
      <t>9) 252 h / 143.3 h = 1.76 slodzes
Slodzes un stundas mēnesī:</t>
    </r>
    <r>
      <rPr>
        <strike/>
        <sz val="11"/>
        <color theme="1"/>
        <rFont val="Times New Roman"/>
        <family val="1"/>
        <charset val="186"/>
      </rPr>
      <t xml:space="preserve">
</t>
    </r>
    <r>
      <rPr>
        <sz val="11"/>
        <color theme="1"/>
        <rFont val="Times New Roman"/>
        <family val="1"/>
        <charset val="186"/>
      </rPr>
      <t>10) 2. 34 + 1.76 + 1.51 + 1.76 = 7.37 slodzes
11) 336 h + 252 h + 216 h + 252 h = 1056 h mēnesī</t>
    </r>
  </si>
  <si>
    <r>
      <rPr>
        <b/>
        <sz val="11"/>
        <color theme="1"/>
        <rFont val="Times New Roman"/>
        <family val="1"/>
        <charset val="186"/>
      </rPr>
      <t>Sociālais aprūpētājs un</t>
    </r>
    <r>
      <rPr>
        <sz val="11"/>
        <color theme="1"/>
        <rFont val="Times New Roman"/>
        <family val="1"/>
        <charset val="186"/>
      </rPr>
      <t xml:space="preserve"> s</t>
    </r>
    <r>
      <rPr>
        <b/>
        <sz val="11"/>
        <color theme="1"/>
        <rFont val="Times New Roman"/>
        <family val="1"/>
        <charset val="186"/>
      </rPr>
      <t>ociālais rehabilitētaj</t>
    </r>
    <r>
      <rPr>
        <sz val="11"/>
        <color theme="1"/>
        <rFont val="Times New Roman"/>
        <family val="1"/>
        <charset val="186"/>
      </rPr>
      <t xml:space="preserve">s saskaņā ar </t>
    </r>
    <r>
      <rPr>
        <sz val="11"/>
        <color rgb="FF0070C0"/>
        <rFont val="Times New Roman"/>
        <family val="1"/>
        <charset val="186"/>
      </rPr>
      <t>MK 26.04.2022. noteikumu Nr. 262</t>
    </r>
    <r>
      <rPr>
        <sz val="11"/>
        <color theme="1"/>
        <rFont val="Times New Roman"/>
        <family val="1"/>
        <charset val="186"/>
      </rPr>
      <t xml:space="preserve"> 106.4. apakšpunktu klasificējas 43.1. apakšsaimes III A līmenī - 6. mēnešalgu grupa.
Atbilstoši Valsts kancelejas pārskatam “Mēnešalgu skalu salīdzinājums” 6. mēnešalgu grupai </t>
    </r>
    <r>
      <rPr>
        <b/>
        <sz val="11"/>
        <color theme="1"/>
        <rFont val="Times New Roman"/>
        <family val="1"/>
        <charset val="186"/>
      </rPr>
      <t>viduspunkts 1081 EUR</t>
    </r>
    <r>
      <rPr>
        <sz val="11"/>
        <color theme="1"/>
        <rFont val="Times New Roman"/>
        <family val="1"/>
        <charset val="186"/>
      </rPr>
      <t>.
Papildus sociālais aprūpētājs un sociālais rehabilitētājs saskaņā ar</t>
    </r>
    <r>
      <rPr>
        <sz val="11"/>
        <color rgb="FF0070C0"/>
        <rFont val="Times New Roman"/>
        <family val="1"/>
        <charset val="186"/>
      </rPr>
      <t xml:space="preserve"> MK 21.06.2022. notiekumu Nr. 361</t>
    </r>
    <r>
      <rPr>
        <sz val="11"/>
        <color theme="1"/>
        <rFont val="Times New Roman"/>
        <family val="1"/>
        <charset val="186"/>
      </rPr>
      <t xml:space="preserve"> 22. punktu saņem piemaksu līdz 25 % apmērā no noteiktās mēnešalgas (jo amata pienākumi pielīdzināti darbam ilgstošas sociālās aprūpes un sociālās rehabilitācijas institūcijas pieaugušām personām ar garīga rakstura traucējumiem).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</si>
  <si>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r>
      <rPr>
        <b/>
        <sz val="11"/>
        <color theme="1"/>
        <rFont val="Times New Roman"/>
        <family val="1"/>
        <charset val="186"/>
      </rPr>
      <t>Sociālais darbinieks</t>
    </r>
    <r>
      <rPr>
        <sz val="11"/>
        <color theme="1"/>
        <rFont val="Times New Roman"/>
        <family val="1"/>
        <charset val="186"/>
      </rPr>
      <t xml:space="preserve"> saskaņā ar </t>
    </r>
    <r>
      <rPr>
        <sz val="11"/>
        <color rgb="FF0070C0"/>
        <rFont val="Times New Roman"/>
        <family val="1"/>
        <charset val="186"/>
      </rPr>
      <t>MK 26.04.2022. noteikumu Nr. 262</t>
    </r>
    <r>
      <rPr>
        <sz val="11"/>
        <color theme="1"/>
        <rFont val="Times New Roman"/>
        <family val="1"/>
        <charset val="186"/>
      </rPr>
      <t xml:space="preserve"> 106.9. apakšpunktu klasificējas 43.1. apakšsaimes V A līmenī - 9. mēnešalgu grupa.
Atbilstoši Valsts kancelejas pārskatam “Mēnešalgu skalu salīdzinājums” 9. mēnešalgu grupai </t>
    </r>
    <r>
      <rPr>
        <b/>
        <sz val="11"/>
        <color theme="1"/>
        <rFont val="Times New Roman"/>
        <family val="1"/>
        <charset val="186"/>
      </rPr>
      <t>viduspunkts 1653 EUR</t>
    </r>
    <r>
      <rPr>
        <sz val="11"/>
        <color theme="1"/>
        <rFont val="Times New Roman"/>
        <family val="1"/>
        <charset val="186"/>
      </rPr>
      <t xml:space="preserve">.
Papildus sociālais darbinieks saskaņā ar </t>
    </r>
    <r>
      <rPr>
        <sz val="11"/>
        <color rgb="FF0070C0"/>
        <rFont val="Times New Roman"/>
        <family val="1"/>
        <charset val="186"/>
      </rPr>
      <t>MK 21.06.2022. notiekumu Nr. 361</t>
    </r>
    <r>
      <rPr>
        <sz val="11"/>
        <color theme="1"/>
        <rFont val="Times New Roman"/>
        <family val="1"/>
        <charset val="186"/>
      </rPr>
      <t xml:space="preserve"> 22. punktu saņem piemaksu līdz 25 % apmērā no noteiktās mēnešalgas (jo amata pienākumi pielīdzināti darbam ilgstošas sociālās aprūpes un sociālās rehabilitācijas institūcijas pieaugušām personām ar garīga rakstura traucējumiem).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</si>
  <si>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r>
      <rPr>
        <b/>
        <sz val="11"/>
        <color theme="1"/>
        <rFont val="Times New Roman"/>
        <family val="1"/>
        <charset val="186"/>
      </rPr>
      <t>DAC vadītājs</t>
    </r>
    <r>
      <rPr>
        <sz val="11"/>
        <color theme="1"/>
        <rFont val="Times New Roman"/>
        <family val="1"/>
        <charset val="186"/>
      </rPr>
      <t xml:space="preserve"> jeb vecākais sociālais darbinieks saskaņā ar </t>
    </r>
    <r>
      <rPr>
        <sz val="11"/>
        <color rgb="FF0070C0"/>
        <rFont val="Times New Roman"/>
        <family val="1"/>
        <charset val="186"/>
      </rPr>
      <t>MK 26.04.2022. noteikumu Nr. 262</t>
    </r>
    <r>
      <rPr>
        <sz val="11"/>
        <color theme="1"/>
        <rFont val="Times New Roman"/>
        <family val="1"/>
        <charset val="186"/>
      </rPr>
      <t xml:space="preserve"> 106.11. apakšpunktu klasificējas 43.1. apakšsaimes VI A līmenī - 10. mēnešalgu grupa.
Atbilstoši Valsts kancelejas pārskatam “Mēnešalgu skalu salīdzinājums” 10. mēnešalgu grupai </t>
    </r>
    <r>
      <rPr>
        <b/>
        <sz val="11"/>
        <color theme="1"/>
        <rFont val="Times New Roman"/>
        <family val="1"/>
        <charset val="186"/>
      </rPr>
      <t>viduspunkts 1999 EUR</t>
    </r>
    <r>
      <rPr>
        <sz val="11"/>
        <color theme="1"/>
        <rFont val="Times New Roman"/>
        <family val="1"/>
        <charset val="186"/>
      </rPr>
      <t xml:space="preserve">.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</si>
  <si>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r>
      <t xml:space="preserve">
</t>
    </r>
    <r>
      <rPr>
        <b/>
        <sz val="11"/>
        <color theme="1"/>
        <rFont val="Times New Roman"/>
        <family val="1"/>
        <charset val="186"/>
      </rPr>
      <t>DAC grāmatvedis</t>
    </r>
    <r>
      <rPr>
        <sz val="11"/>
        <color theme="1"/>
        <rFont val="Times New Roman"/>
        <family val="1"/>
        <charset val="186"/>
      </rPr>
      <t xml:space="preserve"> saskaņā ar </t>
    </r>
    <r>
      <rPr>
        <sz val="11"/>
        <color rgb="FF0070C0"/>
        <rFont val="Times New Roman"/>
        <family val="1"/>
        <charset val="186"/>
      </rPr>
      <t>MK 26.04.2022. noteikumu Nr. 262</t>
    </r>
    <r>
      <rPr>
        <sz val="11"/>
        <color theme="1"/>
        <rFont val="Times New Roman"/>
        <family val="1"/>
        <charset val="186"/>
      </rPr>
      <t xml:space="preserve"> 60.3.. apakšpunktu klasificējas 17. saimes III līmenī - 8. mēnešalgu grupa.
Atbilstoši Valsts kancelejas pārskatam “Mēnešalgu skalu salīdzinājums”  8. mēnešalgu grupai </t>
    </r>
    <r>
      <rPr>
        <b/>
        <sz val="11"/>
        <color theme="1"/>
        <rFont val="Times New Roman"/>
        <family val="1"/>
        <charset val="186"/>
      </rPr>
      <t>viduspunkts 1388 EUR</t>
    </r>
    <r>
      <rPr>
        <sz val="11"/>
        <color theme="1"/>
        <rFont val="Times New Roman"/>
        <family val="1"/>
        <charset val="186"/>
      </rPr>
      <t xml:space="preserve">.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</si>
  <si>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r>
      <rPr>
        <b/>
        <sz val="11"/>
        <color rgb="FF000000"/>
        <rFont val="Times New Roman"/>
        <family val="1"/>
        <charset val="186"/>
      </rPr>
      <t>Aprūpētājs</t>
    </r>
    <r>
      <rPr>
        <sz val="11"/>
        <color rgb="FF000000"/>
        <rFont val="Times New Roman"/>
        <family val="1"/>
        <charset val="186"/>
      </rPr>
      <t xml:space="preserve"> saskaņā ar </t>
    </r>
    <r>
      <rPr>
        <sz val="11"/>
        <color rgb="FF0070C0"/>
        <rFont val="Times New Roman"/>
        <family val="1"/>
        <charset val="186"/>
      </rPr>
      <t>MK 26.04.2022. noteikumu Nr. 262</t>
    </r>
    <r>
      <rPr>
        <sz val="11"/>
        <color rgb="FF000000"/>
        <rFont val="Times New Roman"/>
        <family val="1"/>
        <charset val="186"/>
      </rPr>
      <t xml:space="preserve"> 106.1. apakšpunktu klasificējas 43.1. apakšsaimes I A līmenī - 4. mēnešalgu grupa.
Atbilstoši Valsts kancelejas pārskatam “Mēnešalgu skalu salīdzinājums” 4. mēnešalgu grupai </t>
    </r>
    <r>
      <rPr>
        <b/>
        <sz val="11"/>
        <color rgb="FF000000"/>
        <rFont val="Times New Roman"/>
        <family val="1"/>
        <charset val="186"/>
      </rPr>
      <t>viduspunkts 946 EUR</t>
    </r>
    <r>
      <rPr>
        <sz val="11"/>
        <color rgb="FF000000"/>
        <rFont val="Times New Roman"/>
        <family val="1"/>
        <charset val="186"/>
      </rPr>
      <t xml:space="preserve">.
Papildus aprūpētājs saskaņā ar </t>
    </r>
    <r>
      <rPr>
        <sz val="11"/>
        <color rgb="FF0070C0"/>
        <rFont val="Times New Roman"/>
        <family val="1"/>
        <charset val="186"/>
      </rPr>
      <t>MK 21.06.2022. notiekumu Nr. 361</t>
    </r>
    <r>
      <rPr>
        <sz val="11"/>
        <color rgb="FF000000"/>
        <rFont val="Times New Roman"/>
        <family val="1"/>
        <charset val="186"/>
      </rPr>
      <t xml:space="preserve"> 22. punktu saņem piemaksu līdz 25 % apmērā no noteiktās mēnešalgas (jo amata pienākumi pielīdzināti darbam ilgstošas sociālās aprūpes un sociālās rehabilitācijas institūcijas pieaugušām personām ar garīga rakstura traucējumiem).
Stundas likmi arpēķina atbilstoši </t>
    </r>
    <r>
      <rPr>
        <sz val="11"/>
        <color rgb="FF0070C0"/>
        <rFont val="Times New Roman"/>
        <family val="1"/>
        <charset val="186"/>
      </rPr>
      <t>Regulas Nr. 1303/2013</t>
    </r>
    <r>
      <rPr>
        <sz val="11"/>
        <color rgb="FF000000"/>
        <rFont val="Times New Roman"/>
        <family val="1"/>
        <charset val="186"/>
      </rPr>
      <t xml:space="preserve"> 68a panta 2. punktā noteiktajam, gada bruto izmaksas dalot ar 1 720 stundām.
</t>
    </r>
    <r>
      <rPr>
        <sz val="11"/>
        <color theme="1"/>
        <rFont val="Times New Roman"/>
        <family val="1"/>
        <charset val="186"/>
      </rPr>
      <t>Slodžu aprēķins darba dienās: 
1) 21 darba diena * 14 h (plkst.: 18:00-08:00) = 294 h;</t>
    </r>
    <r>
      <rPr>
        <strike/>
        <sz val="11"/>
        <color theme="1"/>
        <rFont val="Times New Roman"/>
        <family val="1"/>
        <charset val="186"/>
      </rPr>
      <t xml:space="preserve">
</t>
    </r>
    <r>
      <rPr>
        <sz val="11"/>
        <color theme="1"/>
        <rFont val="Times New Roman"/>
        <family val="1"/>
        <charset val="186"/>
      </rPr>
      <t>2) 294 h / 143.3 h = 2.05 slodzes
Slodžu aprēķins brīvdienās (24 h):
3) 9 brīvdienas * 24 h = 216 h;</t>
    </r>
    <r>
      <rPr>
        <strike/>
        <sz val="11"/>
        <color rgb="FF000000"/>
        <rFont val="Times New Roman"/>
        <family val="1"/>
        <charset val="186"/>
      </rPr>
      <t xml:space="preserve">
</t>
    </r>
    <r>
      <rPr>
        <sz val="11"/>
        <color theme="1"/>
        <rFont val="Times New Roman"/>
        <family val="1"/>
        <charset val="186"/>
      </rPr>
      <t>4) 216 h / 143.3 h = 1.51 slodze
Slodzes un stundas mēnesī:</t>
    </r>
    <r>
      <rPr>
        <strike/>
        <sz val="11"/>
        <color theme="1"/>
        <rFont val="Times New Roman"/>
        <family val="1"/>
        <charset val="186"/>
      </rPr>
      <t xml:space="preserve">
</t>
    </r>
    <r>
      <rPr>
        <sz val="11"/>
        <color theme="1"/>
        <rFont val="Times New Roman"/>
        <family val="1"/>
        <charset val="186"/>
      </rPr>
      <t>5) 2.05 + 1.51 = 3.56 slodzes mēnesī
6) 294 h + 216 h = 510 h mēnesī</t>
    </r>
  </si>
  <si>
    <r>
      <rPr>
        <b/>
        <sz val="11"/>
        <color theme="1"/>
        <rFont val="Times New Roman"/>
        <family val="1"/>
        <charset val="186"/>
      </rPr>
      <t>DAC vadītājs</t>
    </r>
    <r>
      <rPr>
        <sz val="11"/>
        <color theme="1"/>
        <rFont val="Times New Roman"/>
        <family val="1"/>
        <charset val="186"/>
      </rPr>
      <t xml:space="preserve"> jeb vecākais sociālais darbinieks saskaņā ar </t>
    </r>
    <r>
      <rPr>
        <sz val="11"/>
        <color rgb="FF0070C0"/>
        <rFont val="Times New Roman"/>
        <family val="1"/>
        <charset val="186"/>
      </rPr>
      <t>MK 26.04.2022. noteikumu Nr. 262</t>
    </r>
    <r>
      <rPr>
        <sz val="11"/>
        <color theme="1"/>
        <rFont val="Times New Roman"/>
        <family val="1"/>
        <charset val="186"/>
      </rPr>
      <t xml:space="preserve"> 106.11. apakšpunktu klasificējas 43.1. apakšsaimes VI A līmenī - 10. mēnešalgu grupa.
Atbilstoši Valsts kancelejas pārskatam “Mēnešalgu skalu salīdzinājums” 10. mēnešalgu grupai </t>
    </r>
    <r>
      <rPr>
        <b/>
        <sz val="11"/>
        <color theme="1"/>
        <rFont val="Times New Roman"/>
        <family val="1"/>
        <charset val="186"/>
      </rPr>
      <t>viduspunkts 1999 EU</t>
    </r>
    <r>
      <rPr>
        <sz val="11"/>
        <color theme="1"/>
        <rFont val="Times New Roman"/>
        <family val="1"/>
        <charset val="186"/>
      </rPr>
      <t xml:space="preserve">R.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</si>
  <si>
    <r>
      <t xml:space="preserve">
</t>
    </r>
    <r>
      <rPr>
        <b/>
        <sz val="11"/>
        <color theme="1"/>
        <rFont val="Times New Roman"/>
        <family val="1"/>
        <charset val="186"/>
      </rPr>
      <t>DAC grāmatvedis</t>
    </r>
    <r>
      <rPr>
        <sz val="11"/>
        <color theme="1"/>
        <rFont val="Times New Roman"/>
        <family val="1"/>
        <charset val="186"/>
      </rPr>
      <t xml:space="preserve"> saskaņā ar </t>
    </r>
    <r>
      <rPr>
        <sz val="11"/>
        <color rgb="FF0070C0"/>
        <rFont val="Times New Roman"/>
        <family val="1"/>
        <charset val="186"/>
      </rPr>
      <t>MK 26.04.2022. noteikumu Nr. 262</t>
    </r>
    <r>
      <rPr>
        <sz val="11"/>
        <color theme="1"/>
        <rFont val="Times New Roman"/>
        <family val="1"/>
        <charset val="186"/>
      </rPr>
      <t xml:space="preserve"> 60.3.. apakšpunktu klasificējas 17. saimes III līmenī - 8. mēnešalgu grupa.
Atbilstoši Valsts kancelejas pārskatam “Mēnešalgu skalu salīdzinājums” 8. mēnešalgu grupai  </t>
    </r>
    <r>
      <rPr>
        <b/>
        <sz val="11"/>
        <color theme="1"/>
        <rFont val="Times New Roman"/>
        <family val="1"/>
        <charset val="186"/>
      </rPr>
      <t>viduspunkts 1388 EUR</t>
    </r>
    <r>
      <rPr>
        <sz val="11"/>
        <color theme="1"/>
        <rFont val="Times New Roman"/>
        <family val="1"/>
        <charset val="186"/>
      </rPr>
      <t xml:space="preserve">.
Stundas likmi arpēķina atbilstoši </t>
    </r>
    <r>
      <rPr>
        <sz val="11"/>
        <color rgb="FF0070C0"/>
        <rFont val="Times New Roman"/>
        <family val="1"/>
        <charset val="186"/>
      </rPr>
      <t>Regulas Nr. 1303/2013</t>
    </r>
    <r>
      <rPr>
        <sz val="11"/>
        <color theme="1"/>
        <rFont val="Times New Roman"/>
        <family val="1"/>
        <charset val="186"/>
      </rPr>
      <t xml:space="preserve"> 68a panta 2. punktā noteiktajam, gada bruto izmaksas dalot ar 1 720 stundām.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</si>
</sst>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0"/>
      <name val="Arial"/>
      <charset val="186"/>
    </font>
    <font>
      <sz val="10"/>
      <name val="Arial"/>
      <family val="2"/>
      <charset val="186"/>
    </font>
    <font>
      <sz val="12"/>
      <name val="Times New Roman"/>
      <family val="1"/>
      <charset val="186"/>
    </font>
    <font>
      <sz val="11"/>
      <name val="Times New Roman"/>
      <family val="1"/>
      <charset val="186"/>
    </font>
    <font>
      <sz val="11"/>
      <name val="Arial"/>
      <family val="2"/>
      <charset val="186"/>
    </font>
    <font>
      <b/>
      <sz val="11"/>
      <name val="Times New Roman"/>
      <family val="1"/>
      <charset val="186"/>
    </font>
    <font>
      <b/>
      <sz val="11"/>
      <color indexed="8"/>
      <name val="Times New Roman"/>
      <family val="1"/>
      <charset val="186"/>
    </font>
    <font>
      <i/>
      <sz val="11"/>
      <name val="Times New Roman"/>
      <family val="1"/>
      <charset val="186"/>
    </font>
    <font>
      <i/>
      <sz val="12"/>
      <name val="Times New Roman"/>
      <family val="1"/>
      <charset val="186"/>
    </font>
    <font>
      <sz val="11"/>
      <name val="Times New Roman"/>
      <family val="1"/>
      <charset val="186"/>
    </font>
    <font>
      <sz val="11"/>
      <color theme="1"/>
      <name val="Times New Roman"/>
      <family val="1"/>
      <charset val="186"/>
    </font>
    <font>
      <b/>
      <sz val="11"/>
      <color theme="1"/>
      <name val="Times New Roman"/>
      <family val="1"/>
      <charset val="186"/>
    </font>
    <font>
      <sz val="10"/>
      <color theme="1"/>
      <name val="Arial"/>
      <family val="2"/>
      <charset val="186"/>
    </font>
    <font>
      <sz val="11"/>
      <color rgb="FF000000"/>
      <name val="Times New Roman"/>
      <family val="1"/>
      <charset val="186"/>
    </font>
    <font>
      <i/>
      <sz val="11"/>
      <color theme="1"/>
      <name val="Times New Roman"/>
      <family val="1"/>
      <charset val="186"/>
    </font>
    <font>
      <b/>
      <sz val="12"/>
      <color theme="1"/>
      <name val="Times New Roman"/>
      <family val="1"/>
      <charset val="186"/>
    </font>
    <font>
      <sz val="12"/>
      <color theme="1"/>
      <name val="Times New Roman"/>
      <family val="1"/>
      <charset val="186"/>
    </font>
    <font>
      <strike/>
      <sz val="11"/>
      <color theme="1"/>
      <name val="Times New Roman"/>
      <family val="1"/>
      <charset val="186"/>
    </font>
    <font>
      <strike/>
      <sz val="11"/>
      <name val="Times New Roman"/>
      <family val="1"/>
      <charset val="186"/>
    </font>
    <font>
      <b/>
      <strike/>
      <sz val="11"/>
      <color theme="1"/>
      <name val="Times New Roman"/>
      <family val="1"/>
      <charset val="186"/>
    </font>
    <font>
      <b/>
      <strike/>
      <sz val="11"/>
      <name val="Times New Roman"/>
      <family val="1"/>
      <charset val="186"/>
    </font>
    <font>
      <sz val="11"/>
      <color rgb="FF0070C0"/>
      <name val="Times New Roman"/>
      <family val="1"/>
      <charset val="186"/>
    </font>
    <font>
      <b/>
      <sz val="11"/>
      <color rgb="FF000000"/>
      <name val="Times New Roman"/>
      <family val="1"/>
      <charset val="186"/>
    </font>
    <font>
      <strike/>
      <sz val="11"/>
      <color rgb="FF000000"/>
      <name val="Times New Roman"/>
      <family val="1"/>
      <charset val="186"/>
    </font>
    <font>
      <sz val="1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0" tint="-4.9989318521683403E-2"/>
        <bgColor indexed="64"/>
      </patternFill>
    </fill>
  </fills>
  <borders count="3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211">
    <xf numFmtId="0" fontId="0" fillId="0" borderId="0" xfId="0"/>
    <xf numFmtId="0" fontId="2" fillId="0" borderId="0" xfId="0" applyFont="1"/>
    <xf numFmtId="0" fontId="3" fillId="0" borderId="0" xfId="0" applyFont="1"/>
    <xf numFmtId="0" fontId="10" fillId="2" borderId="1" xfId="0" applyFont="1" applyFill="1" applyBorder="1" applyAlignment="1">
      <alignment horizontal="center"/>
    </xf>
    <xf numFmtId="0" fontId="10" fillId="2" borderId="2" xfId="0" applyFont="1" applyFill="1" applyBorder="1" applyAlignment="1">
      <alignment horizont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vertical="center" wrapText="1"/>
    </xf>
    <xf numFmtId="4" fontId="10" fillId="0" borderId="4" xfId="0" applyNumberFormat="1" applyFont="1" applyBorder="1" applyAlignment="1">
      <alignment horizontal="center" vertical="center"/>
    </xf>
    <xf numFmtId="4" fontId="3" fillId="0" borderId="4" xfId="0" applyNumberFormat="1" applyFont="1" applyBorder="1" applyAlignment="1">
      <alignment horizontal="center" vertical="center"/>
    </xf>
    <xf numFmtId="4" fontId="10" fillId="0" borderId="5"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0" fillId="0" borderId="6" xfId="0" applyNumberFormat="1" applyFont="1" applyBorder="1" applyAlignment="1">
      <alignment horizontal="center" vertical="center"/>
    </xf>
    <xf numFmtId="4" fontId="10" fillId="0" borderId="9" xfId="0" applyNumberFormat="1" applyFont="1" applyBorder="1" applyAlignment="1">
      <alignment horizontal="center" vertical="center"/>
    </xf>
    <xf numFmtId="4" fontId="10" fillId="0" borderId="10" xfId="0" applyNumberFormat="1" applyFont="1" applyBorder="1" applyAlignment="1">
      <alignment horizontal="center" vertical="center"/>
    </xf>
    <xf numFmtId="4" fontId="10" fillId="0" borderId="7" xfId="0" applyNumberFormat="1" applyFont="1" applyBorder="1" applyAlignment="1">
      <alignment horizontal="center" vertical="center"/>
    </xf>
    <xf numFmtId="4" fontId="5" fillId="0" borderId="8" xfId="0" applyNumberFormat="1" applyFont="1" applyBorder="1" applyAlignment="1">
      <alignment horizontal="center" vertical="center"/>
    </xf>
    <xf numFmtId="0" fontId="10" fillId="0" borderId="0" xfId="0" applyFont="1" applyAlignment="1">
      <alignment vertical="center" wrapText="1"/>
    </xf>
    <xf numFmtId="4" fontId="10" fillId="3" borderId="4" xfId="0" applyNumberFormat="1" applyFont="1" applyFill="1" applyBorder="1" applyAlignment="1">
      <alignment horizontal="center" vertical="center"/>
    </xf>
    <xf numFmtId="4" fontId="3" fillId="3" borderId="4" xfId="0" applyNumberFormat="1" applyFont="1" applyFill="1" applyBorder="1" applyAlignment="1">
      <alignment horizontal="center" vertical="center"/>
    </xf>
    <xf numFmtId="4" fontId="10" fillId="3" borderId="7" xfId="0" applyNumberFormat="1" applyFont="1" applyFill="1" applyBorder="1" applyAlignment="1">
      <alignment horizontal="center" vertical="center"/>
    </xf>
    <xf numFmtId="4" fontId="10" fillId="2" borderId="4" xfId="0" applyNumberFormat="1" applyFont="1" applyFill="1" applyBorder="1" applyAlignment="1">
      <alignment horizontal="center" vertical="center"/>
    </xf>
    <xf numFmtId="4" fontId="10" fillId="2" borderId="5" xfId="0" applyNumberFormat="1" applyFont="1" applyFill="1" applyBorder="1" applyAlignment="1">
      <alignment horizontal="center" vertical="center"/>
    </xf>
    <xf numFmtId="0" fontId="5" fillId="0" borderId="0" xfId="0" applyFont="1" applyAlignment="1">
      <alignment horizontal="center"/>
    </xf>
    <xf numFmtId="0" fontId="4" fillId="0" borderId="0" xfId="0" applyFont="1"/>
    <xf numFmtId="4" fontId="11" fillId="0" borderId="0" xfId="0" applyNumberFormat="1" applyFont="1" applyAlignment="1">
      <alignment horizontal="center" vertical="center"/>
    </xf>
    <xf numFmtId="0" fontId="10" fillId="0" borderId="0" xfId="0" applyFont="1" applyAlignment="1">
      <alignment horizontal="left" vertical="center"/>
    </xf>
    <xf numFmtId="4" fontId="10" fillId="0" borderId="0" xfId="0" applyNumberFormat="1" applyFont="1" applyAlignment="1">
      <alignment horizontal="left" vertical="center"/>
    </xf>
    <xf numFmtId="0" fontId="12" fillId="0" borderId="0" xfId="0" applyFont="1"/>
    <xf numFmtId="0" fontId="10" fillId="4" borderId="4" xfId="0" applyFont="1" applyFill="1" applyBorder="1" applyAlignment="1">
      <alignment horizontal="center" vertical="center" wrapText="1"/>
    </xf>
    <xf numFmtId="0" fontId="10" fillId="0" borderId="4" xfId="0" applyFont="1" applyBorder="1"/>
    <xf numFmtId="0" fontId="10" fillId="0" borderId="4" xfId="0" applyFont="1" applyBorder="1" applyAlignment="1">
      <alignment horizontal="center" vertical="center"/>
    </xf>
    <xf numFmtId="0" fontId="12" fillId="0" borderId="0" xfId="0" applyFont="1" applyAlignment="1">
      <alignment wrapText="1"/>
    </xf>
    <xf numFmtId="0" fontId="10" fillId="0" borderId="0" xfId="0" applyFont="1"/>
    <xf numFmtId="0" fontId="10" fillId="0" borderId="0" xfId="0" applyFont="1" applyAlignment="1">
      <alignment horizontal="center" vertical="center"/>
    </xf>
    <xf numFmtId="3" fontId="10" fillId="0" borderId="0" xfId="0" applyNumberFormat="1" applyFont="1" applyAlignment="1">
      <alignment horizontal="center" vertical="center"/>
    </xf>
    <xf numFmtId="4" fontId="10" fillId="0" borderId="0" xfId="0" applyNumberFormat="1" applyFont="1" applyAlignment="1">
      <alignment horizontal="center" vertical="center"/>
    </xf>
    <xf numFmtId="2" fontId="11" fillId="0" borderId="0" xfId="0" applyNumberFormat="1" applyFont="1" applyAlignment="1">
      <alignment horizontal="center" vertical="center"/>
    </xf>
    <xf numFmtId="0" fontId="3" fillId="0" borderId="4" xfId="0" applyFont="1" applyBorder="1"/>
    <xf numFmtId="0" fontId="11" fillId="4" borderId="4" xfId="0" applyFont="1" applyFill="1" applyBorder="1" applyAlignment="1">
      <alignment horizontal="right" wrapText="1"/>
    </xf>
    <xf numFmtId="0" fontId="3" fillId="4" borderId="4" xfId="0" applyFont="1" applyFill="1" applyBorder="1"/>
    <xf numFmtId="0" fontId="11" fillId="4" borderId="4" xfId="0" applyFont="1" applyFill="1" applyBorder="1" applyAlignment="1">
      <alignment horizontal="center" vertical="center" wrapText="1"/>
    </xf>
    <xf numFmtId="4" fontId="11" fillId="4" borderId="4" xfId="0" applyNumberFormat="1" applyFont="1" applyFill="1" applyBorder="1" applyAlignment="1">
      <alignment horizontal="center" vertical="center"/>
    </xf>
    <xf numFmtId="9" fontId="11" fillId="4" borderId="4" xfId="1" applyFont="1" applyFill="1" applyBorder="1" applyAlignment="1">
      <alignment horizontal="center" vertical="center"/>
    </xf>
    <xf numFmtId="0" fontId="10" fillId="2" borderId="4" xfId="0" applyFont="1" applyFill="1" applyBorder="1" applyAlignment="1">
      <alignment vertical="center" wrapText="1"/>
    </xf>
    <xf numFmtId="0" fontId="13" fillId="0" borderId="4" xfId="0" applyFont="1" applyBorder="1" applyAlignment="1">
      <alignment wrapText="1"/>
    </xf>
    <xf numFmtId="1" fontId="3" fillId="2" borderId="4" xfId="0" applyNumberFormat="1" applyFont="1" applyFill="1" applyBorder="1" applyAlignment="1">
      <alignment horizontal="center" vertical="center"/>
    </xf>
    <xf numFmtId="1" fontId="3" fillId="2" borderId="4" xfId="0" applyNumberFormat="1" applyFont="1" applyFill="1" applyBorder="1" applyAlignment="1">
      <alignment horizontal="center" vertical="center" wrapText="1"/>
    </xf>
    <xf numFmtId="3" fontId="3" fillId="2" borderId="4" xfId="0" applyNumberFormat="1" applyFont="1" applyFill="1" applyBorder="1" applyAlignment="1">
      <alignment horizontal="center"/>
    </xf>
    <xf numFmtId="4" fontId="3" fillId="0" borderId="4" xfId="0" applyNumberFormat="1" applyFont="1" applyBorder="1" applyAlignment="1">
      <alignment horizontal="center"/>
    </xf>
    <xf numFmtId="2" fontId="3" fillId="0" borderId="4" xfId="0" applyNumberFormat="1" applyFont="1" applyBorder="1" applyAlignment="1">
      <alignment horizontal="center"/>
    </xf>
    <xf numFmtId="0" fontId="10" fillId="2" borderId="4" xfId="0" applyFont="1" applyFill="1" applyBorder="1" applyAlignment="1">
      <alignment horizontal="left" vertical="center" wrapText="1"/>
    </xf>
    <xf numFmtId="0" fontId="11" fillId="2" borderId="4" xfId="0" applyFont="1" applyFill="1" applyBorder="1" applyAlignment="1">
      <alignment horizontal="left" vertical="center" wrapText="1"/>
    </xf>
    <xf numFmtId="3" fontId="5" fillId="2" borderId="4" xfId="0" applyNumberFormat="1" applyFont="1" applyFill="1" applyBorder="1" applyAlignment="1">
      <alignment horizontal="center"/>
    </xf>
    <xf numFmtId="0" fontId="10" fillId="0" borderId="0" xfId="0" applyFont="1" applyAlignment="1">
      <alignment horizontal="right"/>
    </xf>
    <xf numFmtId="0" fontId="10" fillId="0" borderId="4" xfId="0" applyFont="1" applyBorder="1" applyAlignment="1">
      <alignment horizontal="left" vertical="center" wrapText="1"/>
    </xf>
    <xf numFmtId="4" fontId="10" fillId="0" borderId="4" xfId="0" applyNumberFormat="1" applyFont="1" applyBorder="1" applyAlignment="1">
      <alignment horizontal="center" vertical="center" wrapText="1"/>
    </xf>
    <xf numFmtId="2" fontId="12" fillId="0" borderId="0" xfId="0" applyNumberFormat="1" applyFont="1"/>
    <xf numFmtId="2" fontId="11" fillId="4" borderId="4" xfId="0" applyNumberFormat="1" applyFont="1" applyFill="1" applyBorder="1" applyAlignment="1">
      <alignment horizontal="center" vertical="center" wrapText="1"/>
    </xf>
    <xf numFmtId="0" fontId="3" fillId="0" borderId="13" xfId="0" applyFont="1" applyBorder="1"/>
    <xf numFmtId="0" fontId="5" fillId="4" borderId="4" xfId="0" applyFont="1" applyFill="1" applyBorder="1" applyAlignment="1">
      <alignment horizontal="right" vertical="center" wrapText="1"/>
    </xf>
    <xf numFmtId="2" fontId="10" fillId="0" borderId="0" xfId="0" applyNumberFormat="1" applyFont="1"/>
    <xf numFmtId="2" fontId="3" fillId="0" borderId="0" xfId="0" applyNumberFormat="1" applyFont="1"/>
    <xf numFmtId="4" fontId="3" fillId="0" borderId="0" xfId="0" applyNumberFormat="1" applyFont="1"/>
    <xf numFmtId="0" fontId="3" fillId="5" borderId="4" xfId="0" applyFont="1" applyFill="1" applyBorder="1" applyAlignment="1">
      <alignment horizontal="center" vertical="center"/>
    </xf>
    <xf numFmtId="0" fontId="10" fillId="5"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3" fontId="3" fillId="2" borderId="4" xfId="0" applyNumberFormat="1" applyFont="1" applyFill="1" applyBorder="1" applyAlignment="1">
      <alignment horizontal="center" vertical="center"/>
    </xf>
    <xf numFmtId="0" fontId="3" fillId="0" borderId="4" xfId="0" applyFont="1" applyBorder="1" applyAlignment="1">
      <alignment horizontal="center" vertical="center"/>
    </xf>
    <xf numFmtId="2" fontId="3" fillId="0" borderId="4" xfId="0" applyNumberFormat="1" applyFont="1" applyBorder="1" applyAlignment="1">
      <alignment horizontal="center" vertical="center"/>
    </xf>
    <xf numFmtId="0" fontId="3" fillId="2" borderId="4" xfId="0" applyFont="1" applyFill="1" applyBorder="1" applyAlignment="1">
      <alignment horizontal="center" vertical="center"/>
    </xf>
    <xf numFmtId="3" fontId="5" fillId="2" borderId="4" xfId="0" applyNumberFormat="1" applyFont="1" applyFill="1" applyBorder="1" applyAlignment="1">
      <alignment horizontal="center" vertical="center"/>
    </xf>
    <xf numFmtId="4" fontId="5" fillId="2" borderId="4" xfId="0" applyNumberFormat="1" applyFont="1" applyFill="1" applyBorder="1" applyAlignment="1">
      <alignment horizontal="center" vertical="center"/>
    </xf>
    <xf numFmtId="2" fontId="5" fillId="2" borderId="4" xfId="0" applyNumberFormat="1" applyFont="1" applyFill="1" applyBorder="1" applyAlignment="1">
      <alignment horizontal="center" vertical="center"/>
    </xf>
    <xf numFmtId="164" fontId="3" fillId="0" borderId="4" xfId="0" applyNumberFormat="1" applyFont="1" applyBorder="1" applyAlignment="1">
      <alignment horizontal="center" vertical="center"/>
    </xf>
    <xf numFmtId="164" fontId="3" fillId="2" borderId="4" xfId="0" applyNumberFormat="1" applyFont="1" applyFill="1" applyBorder="1" applyAlignment="1">
      <alignment horizontal="center" vertical="center"/>
    </xf>
    <xf numFmtId="0" fontId="11" fillId="0" borderId="13" xfId="0" applyFont="1" applyBorder="1" applyAlignment="1">
      <alignment horizontal="right" vertical="center" wrapText="1"/>
    </xf>
    <xf numFmtId="3" fontId="5" fillId="0" borderId="13" xfId="0" applyNumberFormat="1" applyFont="1" applyBorder="1" applyAlignment="1">
      <alignment horizontal="center"/>
    </xf>
    <xf numFmtId="1" fontId="5" fillId="0" borderId="13" xfId="0" applyNumberFormat="1" applyFont="1" applyBorder="1" applyAlignment="1">
      <alignment horizontal="center"/>
    </xf>
    <xf numFmtId="4" fontId="5" fillId="0" borderId="13" xfId="0" applyNumberFormat="1" applyFont="1" applyBorder="1" applyAlignment="1">
      <alignment horizontal="center"/>
    </xf>
    <xf numFmtId="0" fontId="10" fillId="5" borderId="4" xfId="0" applyFont="1" applyFill="1" applyBorder="1" applyAlignment="1">
      <alignment horizontal="center" wrapText="1"/>
    </xf>
    <xf numFmtId="0" fontId="10" fillId="5" borderId="4" xfId="0" applyFont="1" applyFill="1" applyBorder="1" applyAlignment="1">
      <alignment horizontal="center" vertical="center"/>
    </xf>
    <xf numFmtId="0" fontId="9" fillId="0" borderId="0" xfId="0" applyFont="1"/>
    <xf numFmtId="0" fontId="10" fillId="0" borderId="4" xfId="0" applyFont="1" applyBorder="1" applyAlignment="1">
      <alignment horizontal="justify" vertical="center"/>
    </xf>
    <xf numFmtId="0" fontId="9" fillId="0" borderId="0" xfId="0" applyFont="1" applyAlignment="1">
      <alignment vertical="top"/>
    </xf>
    <xf numFmtId="0" fontId="10" fillId="0" borderId="4" xfId="0" applyFont="1" applyBorder="1" applyAlignment="1">
      <alignment vertical="top" wrapText="1"/>
    </xf>
    <xf numFmtId="0" fontId="10" fillId="0" borderId="4" xfId="0" applyFont="1" applyBorder="1" applyAlignment="1">
      <alignment horizontal="justify" vertical="top" wrapText="1"/>
    </xf>
    <xf numFmtId="4" fontId="17" fillId="0" borderId="4" xfId="0" applyNumberFormat="1" applyFont="1" applyBorder="1" applyAlignment="1">
      <alignment horizontal="center" vertical="center"/>
    </xf>
    <xf numFmtId="4" fontId="18" fillId="0" borderId="4" xfId="0" applyNumberFormat="1" applyFont="1" applyBorder="1" applyAlignment="1">
      <alignment horizontal="center" vertical="center"/>
    </xf>
    <xf numFmtId="4" fontId="17" fillId="0" borderId="5" xfId="0" applyNumberFormat="1" applyFont="1" applyBorder="1" applyAlignment="1">
      <alignment horizontal="center" vertical="center"/>
    </xf>
    <xf numFmtId="4" fontId="19" fillId="0" borderId="8" xfId="0" applyNumberFormat="1" applyFont="1" applyBorder="1" applyAlignment="1">
      <alignment horizontal="center" vertical="center"/>
    </xf>
    <xf numFmtId="4" fontId="17" fillId="0" borderId="6" xfId="0" applyNumberFormat="1" applyFont="1" applyBorder="1" applyAlignment="1">
      <alignment horizontal="center" vertical="center"/>
    </xf>
    <xf numFmtId="4" fontId="17" fillId="0" borderId="9" xfId="0" applyNumberFormat="1" applyFont="1" applyBorder="1" applyAlignment="1">
      <alignment horizontal="center" vertical="center"/>
    </xf>
    <xf numFmtId="4" fontId="17" fillId="0" borderId="10" xfId="0" applyNumberFormat="1" applyFont="1" applyBorder="1" applyAlignment="1">
      <alignment horizontal="center" vertical="center"/>
    </xf>
    <xf numFmtId="4" fontId="17" fillId="0" borderId="7" xfId="0" applyNumberFormat="1" applyFont="1" applyBorder="1" applyAlignment="1">
      <alignment horizontal="center" vertical="center"/>
    </xf>
    <xf numFmtId="4" fontId="20" fillId="0" borderId="8" xfId="0" applyNumberFormat="1" applyFont="1" applyBorder="1" applyAlignment="1">
      <alignment horizontal="center" vertical="center"/>
    </xf>
    <xf numFmtId="4" fontId="17" fillId="3" borderId="4" xfId="0" applyNumberFormat="1" applyFont="1" applyFill="1" applyBorder="1" applyAlignment="1">
      <alignment horizontal="center" vertical="center"/>
    </xf>
    <xf numFmtId="4" fontId="18" fillId="3" borderId="4" xfId="0" applyNumberFormat="1" applyFont="1" applyFill="1" applyBorder="1" applyAlignment="1">
      <alignment horizontal="center" vertical="center"/>
    </xf>
    <xf numFmtId="4" fontId="17" fillId="3" borderId="6" xfId="0" applyNumberFormat="1" applyFont="1" applyFill="1" applyBorder="1" applyAlignment="1">
      <alignment horizontal="center" vertical="center"/>
    </xf>
    <xf numFmtId="4" fontId="17" fillId="3" borderId="9" xfId="0" applyNumberFormat="1" applyFont="1" applyFill="1" applyBorder="1" applyAlignment="1">
      <alignment horizontal="center" vertical="center"/>
    </xf>
    <xf numFmtId="4" fontId="17" fillId="3" borderId="7" xfId="0" applyNumberFormat="1" applyFont="1" applyFill="1" applyBorder="1" applyAlignment="1">
      <alignment horizontal="center" vertical="center"/>
    </xf>
    <xf numFmtId="4" fontId="17" fillId="3" borderId="5" xfId="0" applyNumberFormat="1" applyFont="1" applyFill="1" applyBorder="1" applyAlignment="1">
      <alignment horizontal="center" vertical="center"/>
    </xf>
    <xf numFmtId="4" fontId="17" fillId="3" borderId="10" xfId="0" applyNumberFormat="1" applyFont="1" applyFill="1" applyBorder="1" applyAlignment="1">
      <alignment horizontal="center" vertical="center"/>
    </xf>
    <xf numFmtId="0" fontId="3" fillId="0" borderId="4" xfId="0" applyFont="1" applyBorder="1" applyAlignment="1">
      <alignment horizontal="left" vertical="center" wrapText="1"/>
    </xf>
    <xf numFmtId="0" fontId="11" fillId="5"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0" fillId="5" borderId="14" xfId="0" applyFont="1" applyFill="1" applyBorder="1" applyAlignment="1">
      <alignment horizontal="center" vertical="center"/>
    </xf>
    <xf numFmtId="0" fontId="11" fillId="5" borderId="4" xfId="0" applyFont="1" applyFill="1" applyBorder="1" applyAlignment="1">
      <alignment horizontal="center" vertical="center"/>
    </xf>
    <xf numFmtId="0" fontId="5" fillId="5" borderId="4" xfId="0" applyFont="1" applyFill="1" applyBorder="1" applyAlignment="1">
      <alignment horizontal="center" vertical="center"/>
    </xf>
    <xf numFmtId="0" fontId="3" fillId="5" borderId="14" xfId="0" applyFont="1" applyFill="1" applyBorder="1" applyAlignment="1">
      <alignment horizontal="center" vertical="center"/>
    </xf>
    <xf numFmtId="0" fontId="11" fillId="4" borderId="5" xfId="0" applyFont="1" applyFill="1" applyBorder="1" applyAlignment="1">
      <alignment horizontal="center" vertical="center" wrapText="1"/>
    </xf>
    <xf numFmtId="2" fontId="10" fillId="0" borderId="4" xfId="0" applyNumberFormat="1" applyFont="1" applyBorder="1" applyAlignment="1">
      <alignment horizontal="center" vertical="center"/>
    </xf>
    <xf numFmtId="2" fontId="10" fillId="2" borderId="4" xfId="0" applyNumberFormat="1" applyFont="1" applyFill="1" applyBorder="1" applyAlignment="1">
      <alignment horizontal="center" vertical="center"/>
    </xf>
    <xf numFmtId="4" fontId="10" fillId="2" borderId="17" xfId="0" applyNumberFormat="1" applyFont="1" applyFill="1" applyBorder="1" applyAlignment="1">
      <alignment horizontal="right" vertical="center"/>
    </xf>
    <xf numFmtId="0" fontId="10" fillId="2" borderId="4" xfId="0" applyFont="1" applyFill="1" applyBorder="1" applyAlignment="1">
      <alignment horizontal="left" wrapText="1"/>
    </xf>
    <xf numFmtId="0" fontId="3" fillId="2" borderId="4" xfId="0" applyFont="1" applyFill="1" applyBorder="1" applyAlignment="1">
      <alignment horizontal="left" vertical="center" wrapText="1"/>
    </xf>
    <xf numFmtId="2" fontId="10" fillId="2" borderId="4" xfId="1" applyNumberFormat="1" applyFont="1" applyFill="1" applyBorder="1" applyAlignment="1">
      <alignment horizontal="right" vertical="center"/>
    </xf>
    <xf numFmtId="0" fontId="24" fillId="0" borderId="0" xfId="0" applyFont="1"/>
    <xf numFmtId="2" fontId="3" fillId="2" borderId="4" xfId="0" applyNumberFormat="1" applyFont="1" applyFill="1" applyBorder="1" applyAlignment="1">
      <alignment horizontal="center" vertical="center"/>
    </xf>
    <xf numFmtId="4" fontId="10" fillId="0" borderId="17" xfId="0" applyNumberFormat="1" applyFont="1" applyFill="1" applyBorder="1" applyAlignment="1">
      <alignment horizontal="right" vertical="center"/>
    </xf>
    <xf numFmtId="0" fontId="11" fillId="0" borderId="0" xfId="0" applyFont="1" applyAlignment="1">
      <alignment horizontal="center" wrapText="1"/>
    </xf>
    <xf numFmtId="0" fontId="7" fillId="0" borderId="0" xfId="0" applyFont="1" applyAlignment="1">
      <alignment horizontal="right" vertical="center"/>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0" borderId="28" xfId="0" applyFont="1" applyBorder="1" applyAlignment="1">
      <alignment horizontal="left" vertical="center" wrapText="1"/>
    </xf>
    <xf numFmtId="0" fontId="10" fillId="0" borderId="29" xfId="0" applyFont="1" applyBorder="1" applyAlignment="1">
      <alignment horizontal="left" vertical="center" wrapText="1"/>
    </xf>
    <xf numFmtId="0" fontId="10" fillId="0" borderId="0" xfId="0" applyFont="1" applyAlignment="1">
      <alignment horizontal="left" vertical="center" wrapText="1"/>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10" fillId="0" borderId="15" xfId="0" applyFont="1" applyBorder="1" applyAlignment="1">
      <alignment horizontal="left" vertical="center" wrapText="1"/>
    </xf>
    <xf numFmtId="0" fontId="10" fillId="0" borderId="32" xfId="0" applyFont="1" applyBorder="1" applyAlignment="1">
      <alignment horizontal="left" vertical="center" wrapText="1"/>
    </xf>
    <xf numFmtId="0" fontId="10" fillId="2" borderId="5"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0" fillId="2" borderId="6" xfId="0" applyFont="1" applyFill="1" applyBorder="1" applyAlignment="1">
      <alignment horizontal="left" vertical="center" wrapText="1"/>
    </xf>
    <xf numFmtId="4" fontId="11" fillId="4" borderId="5" xfId="0" applyNumberFormat="1" applyFont="1" applyFill="1" applyBorder="1" applyAlignment="1">
      <alignment horizontal="center" vertical="center"/>
    </xf>
    <xf numFmtId="4" fontId="11" fillId="4" borderId="6" xfId="0" applyNumberFormat="1" applyFont="1" applyFill="1" applyBorder="1" applyAlignment="1">
      <alignment horizontal="center" vertical="center"/>
    </xf>
    <xf numFmtId="9" fontId="11" fillId="4" borderId="5" xfId="1" applyFont="1" applyFill="1" applyBorder="1" applyAlignment="1">
      <alignment horizontal="center" vertical="center"/>
    </xf>
    <xf numFmtId="9" fontId="11" fillId="4" borderId="10" xfId="1" applyFont="1" applyFill="1" applyBorder="1" applyAlignment="1">
      <alignment horizontal="center" vertical="center"/>
    </xf>
    <xf numFmtId="9" fontId="11" fillId="4" borderId="6" xfId="1" applyFont="1" applyFill="1" applyBorder="1" applyAlignment="1">
      <alignment horizontal="center" vertical="center"/>
    </xf>
    <xf numFmtId="0" fontId="3" fillId="2" borderId="11"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11"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4" fontId="10" fillId="2" borderId="11" xfId="0" applyNumberFormat="1" applyFont="1" applyFill="1" applyBorder="1" applyAlignment="1">
      <alignment horizontal="center" vertical="center"/>
    </xf>
    <xf numFmtId="4" fontId="10" fillId="2" borderId="16" xfId="0" applyNumberFormat="1" applyFont="1" applyFill="1" applyBorder="1" applyAlignment="1">
      <alignment horizontal="center" vertical="center"/>
    </xf>
    <xf numFmtId="0" fontId="10" fillId="2" borderId="11"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3" fillId="2" borderId="11" xfId="0" applyFont="1" applyFill="1" applyBorder="1" applyAlignment="1">
      <alignment horizontal="center" vertical="center"/>
    </xf>
    <xf numFmtId="0" fontId="3" fillId="2" borderId="16" xfId="0" applyFont="1" applyFill="1" applyBorder="1" applyAlignment="1">
      <alignment horizontal="center" vertical="center"/>
    </xf>
    <xf numFmtId="2" fontId="10" fillId="2" borderId="11" xfId="0" applyNumberFormat="1" applyFont="1" applyFill="1" applyBorder="1" applyAlignment="1">
      <alignment horizontal="center" vertical="center"/>
    </xf>
    <xf numFmtId="2" fontId="10" fillId="2" borderId="16" xfId="0" applyNumberFormat="1" applyFont="1" applyFill="1" applyBorder="1" applyAlignment="1">
      <alignment horizontal="center" vertical="center"/>
    </xf>
    <xf numFmtId="0" fontId="14" fillId="0" borderId="0" xfId="0" applyFont="1" applyAlignment="1">
      <alignment horizontal="right"/>
    </xf>
    <xf numFmtId="0" fontId="11" fillId="0" borderId="15" xfId="0" applyFont="1" applyBorder="1" applyAlignment="1">
      <alignment horizontal="center" vertical="center" wrapText="1"/>
    </xf>
    <xf numFmtId="165" fontId="3" fillId="2" borderId="11" xfId="0" applyNumberFormat="1" applyFont="1" applyFill="1" applyBorder="1" applyAlignment="1">
      <alignment horizontal="center" vertical="center"/>
    </xf>
    <xf numFmtId="165" fontId="3" fillId="2" borderId="16" xfId="0" applyNumberFormat="1" applyFont="1" applyFill="1" applyBorder="1" applyAlignment="1">
      <alignment horizontal="center" vertical="center"/>
    </xf>
    <xf numFmtId="165" fontId="3" fillId="2" borderId="17" xfId="0" applyNumberFormat="1" applyFont="1" applyFill="1" applyBorder="1" applyAlignment="1">
      <alignment horizontal="center" vertical="center"/>
    </xf>
    <xf numFmtId="0" fontId="10" fillId="2" borderId="11" xfId="0" applyFont="1" applyFill="1" applyBorder="1" applyAlignment="1">
      <alignment horizontal="center" vertical="center" wrapText="1"/>
    </xf>
    <xf numFmtId="0" fontId="10" fillId="2" borderId="16" xfId="0" applyFont="1" applyFill="1" applyBorder="1" applyAlignment="1">
      <alignment horizontal="center" vertical="center" wrapText="1"/>
    </xf>
    <xf numFmtId="2" fontId="10" fillId="2" borderId="11" xfId="0" applyNumberFormat="1" applyFont="1" applyFill="1" applyBorder="1" applyAlignment="1">
      <alignment horizontal="center" vertical="center" wrapText="1"/>
    </xf>
    <xf numFmtId="2" fontId="10" fillId="2" borderId="16" xfId="0" applyNumberFormat="1" applyFont="1" applyFill="1" applyBorder="1" applyAlignment="1">
      <alignment horizontal="center" vertical="center" wrapText="1"/>
    </xf>
    <xf numFmtId="0" fontId="10" fillId="2" borderId="11" xfId="0" applyFont="1" applyFill="1" applyBorder="1" applyAlignment="1">
      <alignment horizontal="left" vertical="top" wrapText="1"/>
    </xf>
    <xf numFmtId="0" fontId="10" fillId="2" borderId="16" xfId="0" applyFont="1" applyFill="1" applyBorder="1" applyAlignment="1">
      <alignment horizontal="left" vertical="top" wrapText="1"/>
    </xf>
    <xf numFmtId="0" fontId="3" fillId="2" borderId="17" xfId="0" applyFont="1" applyFill="1" applyBorder="1" applyAlignment="1">
      <alignment horizontal="center" vertical="center"/>
    </xf>
    <xf numFmtId="2" fontId="10" fillId="2" borderId="17" xfId="0" applyNumberFormat="1" applyFont="1" applyFill="1" applyBorder="1" applyAlignment="1">
      <alignment horizontal="center" vertical="center"/>
    </xf>
    <xf numFmtId="0" fontId="10" fillId="2" borderId="17" xfId="0" applyFont="1" applyFill="1" applyBorder="1" applyAlignment="1">
      <alignment horizontal="left" vertical="center" wrapText="1"/>
    </xf>
    <xf numFmtId="0" fontId="5" fillId="0" borderId="15" xfId="0" applyFont="1" applyBorder="1" applyAlignment="1">
      <alignment horizontal="center" wrapText="1"/>
    </xf>
    <xf numFmtId="165" fontId="10" fillId="2" borderId="11" xfId="0" applyNumberFormat="1" applyFont="1" applyFill="1" applyBorder="1" applyAlignment="1">
      <alignment horizontal="center" vertical="center"/>
    </xf>
    <xf numFmtId="165" fontId="10" fillId="2" borderId="16" xfId="0" applyNumberFormat="1" applyFont="1" applyFill="1" applyBorder="1" applyAlignment="1">
      <alignment horizontal="center" vertical="center"/>
    </xf>
    <xf numFmtId="165" fontId="10" fillId="2" borderId="17" xfId="0" applyNumberFormat="1" applyFont="1" applyFill="1" applyBorder="1" applyAlignment="1">
      <alignment horizontal="center" vertical="center"/>
    </xf>
    <xf numFmtId="0" fontId="10" fillId="0" borderId="0" xfId="0" applyFont="1" applyAlignment="1">
      <alignment horizontal="left" vertical="center"/>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10" fillId="2" borderId="0" xfId="0" applyFont="1" applyFill="1" applyAlignment="1">
      <alignment horizontal="left" vertical="center" wrapText="1"/>
    </xf>
    <xf numFmtId="0" fontId="10"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11" fillId="0" borderId="26" xfId="0" applyFont="1" applyBorder="1" applyAlignment="1">
      <alignment horizontal="center" vertical="center"/>
    </xf>
    <xf numFmtId="0" fontId="10" fillId="2" borderId="27" xfId="0" applyFont="1" applyFill="1" applyBorder="1" applyAlignment="1">
      <alignment horizontal="center" vertical="center"/>
    </xf>
    <xf numFmtId="0" fontId="10" fillId="2" borderId="22"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2" borderId="21" xfId="0" applyFont="1" applyFill="1" applyBorder="1" applyAlignment="1">
      <alignment horizontal="center" vertical="center"/>
    </xf>
    <xf numFmtId="0" fontId="5" fillId="0" borderId="0" xfId="0" applyFont="1" applyAlignment="1">
      <alignment horizontal="center" vertical="center" wrapText="1"/>
    </xf>
    <xf numFmtId="0" fontId="11" fillId="4" borderId="5"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6" xfId="0" applyFont="1" applyFill="1" applyBorder="1" applyAlignment="1">
      <alignment horizontal="center" vertical="center" wrapText="1"/>
    </xf>
    <xf numFmtId="3" fontId="10" fillId="0" borderId="4" xfId="0" applyNumberFormat="1" applyFont="1" applyBorder="1" applyAlignment="1">
      <alignment horizontal="center" vertical="center"/>
    </xf>
    <xf numFmtId="2" fontId="11" fillId="2" borderId="11" xfId="0" applyNumberFormat="1" applyFont="1" applyFill="1" applyBorder="1" applyAlignment="1">
      <alignment horizontal="center" vertical="center"/>
    </xf>
    <xf numFmtId="2" fontId="11" fillId="2" borderId="16" xfId="0" applyNumberFormat="1" applyFont="1" applyFill="1" applyBorder="1" applyAlignment="1">
      <alignment horizontal="center" vertical="center"/>
    </xf>
    <xf numFmtId="2" fontId="11" fillId="2" borderId="17" xfId="0" applyNumberFormat="1" applyFont="1" applyFill="1" applyBorder="1" applyAlignment="1">
      <alignment horizontal="center" vertical="center"/>
    </xf>
    <xf numFmtId="0" fontId="11" fillId="2" borderId="5"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2" borderId="6" xfId="0" applyFont="1" applyFill="1" applyBorder="1" applyAlignment="1">
      <alignment horizontal="left" vertical="center" wrapText="1"/>
    </xf>
    <xf numFmtId="4" fontId="10" fillId="0" borderId="11" xfId="0" applyNumberFormat="1" applyFont="1" applyBorder="1" applyAlignment="1">
      <alignment horizontal="center" vertical="center" wrapText="1"/>
    </xf>
    <xf numFmtId="4" fontId="10" fillId="0" borderId="17" xfId="0" applyNumberFormat="1" applyFont="1" applyBorder="1" applyAlignment="1">
      <alignment horizontal="center" vertical="center" wrapText="1"/>
    </xf>
    <xf numFmtId="0" fontId="10" fillId="0" borderId="4" xfId="0" applyFont="1" applyBorder="1" applyAlignment="1">
      <alignment horizontal="center" vertical="center"/>
    </xf>
    <xf numFmtId="4" fontId="10" fillId="0" borderId="11" xfId="0" applyNumberFormat="1" applyFont="1" applyBorder="1" applyAlignment="1">
      <alignment horizontal="center" vertical="center"/>
    </xf>
    <xf numFmtId="4" fontId="10" fillId="0" borderId="17" xfId="0" applyNumberFormat="1" applyFont="1" applyBorder="1" applyAlignment="1">
      <alignment horizontal="center" vertical="center"/>
    </xf>
    <xf numFmtId="0" fontId="15" fillId="0" borderId="0" xfId="0" applyFont="1" applyAlignment="1">
      <alignment horizontal="center" wrapText="1"/>
    </xf>
    <xf numFmtId="0" fontId="16" fillId="0" borderId="5" xfId="0" applyFont="1" applyBorder="1" applyAlignment="1">
      <alignment horizontal="justify" vertical="center" wrapText="1"/>
    </xf>
    <xf numFmtId="0" fontId="16" fillId="0" borderId="6" xfId="0" applyFont="1" applyBorder="1" applyAlignment="1">
      <alignment vertical="center" wrapText="1"/>
    </xf>
    <xf numFmtId="0" fontId="8" fillId="0" borderId="0" xfId="0" applyFont="1" applyAlignment="1">
      <alignment horizontal="right"/>
    </xf>
    <xf numFmtId="2" fontId="10" fillId="0" borderId="4" xfId="1" applyNumberFormat="1" applyFont="1" applyFill="1" applyBorder="1" applyAlignment="1">
      <alignment horizontal="right" vertical="center"/>
    </xf>
  </cellXfs>
  <cellStyles count="2">
    <cellStyle name="Normal" xfId="0" builtinId="0"/>
    <cellStyle name="Percent" xfId="1" builtinId="5"/>
  </cellStyles>
  <dxfs count="0"/>
  <tableStyles count="0" defaultTableStyle="TableStyleMedium2" defaultPivotStyle="PivotStyleLight16"/>
  <colors>
    <mruColors>
      <color rgb="FFFFFF99"/>
      <color rgb="FF8DF7AB"/>
      <color rgb="FF7AFA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Aija Trizna" id="{178A3997-D7AE-4528-9CFE-A318F73961CC}" userId="S::aija.trizna@fm.gov.lv::aaba4462-6781-4d2f-935d-54bf8ea156f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6" dT="2023-02-08T09:08:30.73" personId="{178A3997-D7AE-4528-9CFE-A318F73961CC}" id="{1A220CE7-89C1-4C78-A261-26756D9A36BC}">
    <text>lūdzam precizēt formulā uz 946 EUR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6"/>
  <sheetViews>
    <sheetView tabSelected="1" zoomScale="70" zoomScaleNormal="70" workbookViewId="0">
      <selection sqref="A1:B1"/>
    </sheetView>
  </sheetViews>
  <sheetFormatPr defaultColWidth="9.1796875" defaultRowHeight="14" x14ac:dyDescent="0.3"/>
  <cols>
    <col min="1" max="1" width="27.453125" style="86" customWidth="1"/>
    <col min="2" max="2" width="127.453125" style="86" customWidth="1"/>
    <col min="3" max="16384" width="9.1796875" style="86"/>
  </cols>
  <sheetData>
    <row r="1" spans="1:2" x14ac:dyDescent="0.3">
      <c r="A1" s="125" t="s">
        <v>0</v>
      </c>
      <c r="B1" s="125"/>
    </row>
    <row r="2" spans="1:2" x14ac:dyDescent="0.3">
      <c r="A2" s="124" t="s">
        <v>1</v>
      </c>
      <c r="B2" s="124"/>
    </row>
    <row r="3" spans="1:2" ht="28" x14ac:dyDescent="0.3">
      <c r="A3" s="107" t="s">
        <v>2</v>
      </c>
      <c r="B3" s="87" t="s">
        <v>3</v>
      </c>
    </row>
    <row r="4" spans="1:2" s="88" customFormat="1" ht="140" x14ac:dyDescent="0.25">
      <c r="A4" s="59" t="s">
        <v>4</v>
      </c>
      <c r="B4" s="11" t="s">
        <v>5</v>
      </c>
    </row>
    <row r="5" spans="1:2" ht="103.5" customHeight="1" x14ac:dyDescent="0.3">
      <c r="A5" s="59" t="s">
        <v>6</v>
      </c>
      <c r="B5" s="89" t="s">
        <v>7</v>
      </c>
    </row>
    <row r="6" spans="1:2" ht="118.5" customHeight="1" x14ac:dyDescent="0.3">
      <c r="A6" s="107" t="s">
        <v>8</v>
      </c>
      <c r="B6" s="90" t="s">
        <v>9</v>
      </c>
    </row>
  </sheetData>
  <mergeCells count="2">
    <mergeCell ref="A2:B2"/>
    <mergeCell ref="A1:B1"/>
  </mergeCells>
  <pageMargins left="0.7" right="0.7"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3"/>
  <sheetViews>
    <sheetView zoomScale="63" zoomScaleNormal="63" workbookViewId="0">
      <selection sqref="A1:G1"/>
    </sheetView>
  </sheetViews>
  <sheetFormatPr defaultColWidth="9.1796875" defaultRowHeight="14" x14ac:dyDescent="0.3"/>
  <cols>
    <col min="1" max="1" width="29.7265625" style="2" customWidth="1"/>
    <col min="2" max="2" width="9.26953125" style="2" bestFit="1" customWidth="1"/>
    <col min="3" max="3" width="10.453125" style="2" bestFit="1" customWidth="1"/>
    <col min="4" max="4" width="11.26953125" style="2" customWidth="1"/>
    <col min="5" max="5" width="35.54296875" style="2" customWidth="1"/>
    <col min="6" max="6" width="107" style="2" customWidth="1"/>
    <col min="7" max="7" width="64.54296875" style="2" customWidth="1"/>
    <col min="8" max="8" width="9.1796875" style="2"/>
    <col min="9" max="9" width="9.54296875" style="2" bestFit="1" customWidth="1"/>
    <col min="10" max="16384" width="9.1796875" style="2"/>
  </cols>
  <sheetData>
    <row r="1" spans="1:10" s="37" customFormat="1" x14ac:dyDescent="0.3">
      <c r="A1" s="157" t="s">
        <v>10</v>
      </c>
      <c r="B1" s="157"/>
      <c r="C1" s="157"/>
      <c r="D1" s="157"/>
      <c r="E1" s="157"/>
      <c r="F1" s="157"/>
      <c r="G1" s="157"/>
      <c r="H1" s="58"/>
    </row>
    <row r="2" spans="1:10" s="37" customFormat="1" x14ac:dyDescent="0.3">
      <c r="A2" s="158" t="s">
        <v>11</v>
      </c>
      <c r="B2" s="158"/>
      <c r="C2" s="158"/>
      <c r="D2" s="158"/>
      <c r="E2" s="158"/>
      <c r="F2" s="158"/>
      <c r="G2" s="158"/>
    </row>
    <row r="3" spans="1:10" s="37" customFormat="1" ht="42" x14ac:dyDescent="0.3">
      <c r="A3" s="110"/>
      <c r="B3" s="108" t="s">
        <v>12</v>
      </c>
      <c r="C3" s="108" t="s">
        <v>13</v>
      </c>
      <c r="D3" s="108"/>
      <c r="E3" s="108" t="s">
        <v>14</v>
      </c>
      <c r="F3" s="111" t="s">
        <v>15</v>
      </c>
      <c r="G3" s="111" t="s">
        <v>16</v>
      </c>
    </row>
    <row r="4" spans="1:10" s="37" customFormat="1" x14ac:dyDescent="0.3">
      <c r="A4" s="45" t="s">
        <v>17</v>
      </c>
      <c r="B4" s="62">
        <f>SUM(B15:B48)</f>
        <v>1.95</v>
      </c>
      <c r="C4" s="46">
        <f>C5+C15+C24+C33+C41</f>
        <v>25.22</v>
      </c>
      <c r="D4" s="47"/>
      <c r="E4" s="45"/>
      <c r="F4" s="114" t="s">
        <v>18</v>
      </c>
      <c r="G4" s="33"/>
      <c r="H4" s="65"/>
      <c r="I4" s="65"/>
    </row>
    <row r="5" spans="1:10" ht="28" customHeight="1" x14ac:dyDescent="0.3">
      <c r="A5" s="162" t="s">
        <v>19</v>
      </c>
      <c r="B5" s="164">
        <v>3.56</v>
      </c>
      <c r="C5" s="149">
        <f>D14</f>
        <v>10.88</v>
      </c>
      <c r="D5" s="123">
        <v>946</v>
      </c>
      <c r="E5" s="55" t="s">
        <v>20</v>
      </c>
      <c r="F5" s="166" t="s">
        <v>151</v>
      </c>
      <c r="G5" s="151" t="s">
        <v>21</v>
      </c>
      <c r="H5" s="66"/>
      <c r="I5" s="66"/>
      <c r="J5" s="66"/>
    </row>
    <row r="6" spans="1:10" ht="28" customHeight="1" x14ac:dyDescent="0.3">
      <c r="A6" s="163"/>
      <c r="B6" s="165"/>
      <c r="C6" s="150"/>
      <c r="D6" s="123">
        <f>ROUND(D5*25%,2)</f>
        <v>236.5</v>
      </c>
      <c r="E6" s="55" t="s">
        <v>22</v>
      </c>
      <c r="F6" s="167"/>
      <c r="G6" s="152"/>
      <c r="H6" s="66"/>
      <c r="I6" s="66"/>
      <c r="J6" s="66"/>
    </row>
    <row r="7" spans="1:10" ht="28" customHeight="1" x14ac:dyDescent="0.3">
      <c r="A7" s="163"/>
      <c r="B7" s="165"/>
      <c r="C7" s="150"/>
      <c r="D7" s="117">
        <f>D5+D6</f>
        <v>1182.5</v>
      </c>
      <c r="E7" s="55" t="s">
        <v>23</v>
      </c>
      <c r="F7" s="167"/>
      <c r="G7" s="152"/>
      <c r="H7" s="66"/>
      <c r="I7" s="66"/>
      <c r="J7" s="66"/>
    </row>
    <row r="8" spans="1:10" ht="28" customHeight="1" x14ac:dyDescent="0.3">
      <c r="A8" s="163"/>
      <c r="B8" s="165"/>
      <c r="C8" s="150"/>
      <c r="D8" s="117">
        <f>ROUND(D7*23.59%,2)</f>
        <v>278.95</v>
      </c>
      <c r="E8" s="55" t="s">
        <v>24</v>
      </c>
      <c r="F8" s="167"/>
      <c r="G8" s="152"/>
      <c r="H8" s="66"/>
      <c r="I8" s="66"/>
      <c r="J8" s="66"/>
    </row>
    <row r="9" spans="1:10" ht="28" customHeight="1" x14ac:dyDescent="0.3">
      <c r="A9" s="163"/>
      <c r="B9" s="165"/>
      <c r="C9" s="150"/>
      <c r="D9" s="117">
        <f>D7+D8</f>
        <v>1461.45</v>
      </c>
      <c r="E9" s="55" t="s">
        <v>25</v>
      </c>
      <c r="F9" s="167"/>
      <c r="G9" s="152"/>
      <c r="H9" s="66"/>
      <c r="I9" s="66"/>
      <c r="J9" s="66"/>
    </row>
    <row r="10" spans="1:10" ht="28" customHeight="1" x14ac:dyDescent="0.3">
      <c r="A10" s="163"/>
      <c r="B10" s="165"/>
      <c r="C10" s="150"/>
      <c r="D10" s="117">
        <f>ROUND(D9*12,2)</f>
        <v>17537.400000000001</v>
      </c>
      <c r="E10" s="55" t="s">
        <v>26</v>
      </c>
      <c r="F10" s="167"/>
      <c r="G10" s="152"/>
      <c r="H10" s="66"/>
      <c r="I10" s="66"/>
      <c r="J10" s="66"/>
    </row>
    <row r="11" spans="1:10" ht="28" customHeight="1" x14ac:dyDescent="0.3">
      <c r="A11" s="163"/>
      <c r="B11" s="165"/>
      <c r="C11" s="150"/>
      <c r="D11" s="117">
        <f>ROUND(D10/1720,2)</f>
        <v>10.199999999999999</v>
      </c>
      <c r="E11" s="55" t="s">
        <v>27</v>
      </c>
      <c r="F11" s="167"/>
      <c r="G11" s="152"/>
      <c r="H11" s="66"/>
      <c r="I11" s="66"/>
      <c r="J11" s="66"/>
    </row>
    <row r="12" spans="1:10" ht="28" customHeight="1" x14ac:dyDescent="0.3">
      <c r="A12" s="163"/>
      <c r="B12" s="165"/>
      <c r="C12" s="150"/>
      <c r="D12" s="117">
        <f>ROUND(D11/16,2)</f>
        <v>0.64</v>
      </c>
      <c r="E12" s="55" t="s">
        <v>28</v>
      </c>
      <c r="F12" s="167"/>
      <c r="G12" s="152"/>
      <c r="H12" s="66"/>
      <c r="I12" s="66"/>
      <c r="J12" s="66"/>
    </row>
    <row r="13" spans="1:10" ht="28" customHeight="1" x14ac:dyDescent="0.3">
      <c r="A13" s="163"/>
      <c r="B13" s="165"/>
      <c r="C13" s="150"/>
      <c r="D13" s="117">
        <f>ROUND(D12*510,2)</f>
        <v>326.39999999999998</v>
      </c>
      <c r="E13" s="55" t="s">
        <v>29</v>
      </c>
      <c r="F13" s="167"/>
      <c r="G13" s="152"/>
      <c r="H13" s="66"/>
      <c r="I13" s="66"/>
      <c r="J13" s="66"/>
    </row>
    <row r="14" spans="1:10" ht="54" customHeight="1" x14ac:dyDescent="0.3">
      <c r="A14" s="163"/>
      <c r="B14" s="165"/>
      <c r="C14" s="150"/>
      <c r="D14" s="117">
        <f>ROUND(D13/30,2)</f>
        <v>10.88</v>
      </c>
      <c r="E14" s="55" t="s">
        <v>30</v>
      </c>
      <c r="F14" s="167"/>
      <c r="G14" s="152"/>
      <c r="H14" s="66"/>
      <c r="I14" s="66"/>
      <c r="J14" s="66"/>
    </row>
    <row r="15" spans="1:10" ht="17.5" customHeight="1" x14ac:dyDescent="0.3">
      <c r="A15" s="146" t="s">
        <v>31</v>
      </c>
      <c r="B15" s="146">
        <v>0.75</v>
      </c>
      <c r="C15" s="149">
        <f>D23</f>
        <v>4.37</v>
      </c>
      <c r="D15" s="120">
        <v>1081</v>
      </c>
      <c r="E15" s="118" t="s">
        <v>20</v>
      </c>
      <c r="F15" s="151" t="s">
        <v>147</v>
      </c>
      <c r="G15" s="143" t="s">
        <v>32</v>
      </c>
      <c r="H15" s="66"/>
      <c r="I15" s="66"/>
    </row>
    <row r="16" spans="1:10" ht="17.5" customHeight="1" x14ac:dyDescent="0.3">
      <c r="A16" s="147"/>
      <c r="B16" s="147"/>
      <c r="C16" s="150"/>
      <c r="D16" s="120">
        <f>ROUND(D15*25%,2)</f>
        <v>270.25</v>
      </c>
      <c r="E16" s="118" t="s">
        <v>22</v>
      </c>
      <c r="F16" s="152"/>
      <c r="G16" s="144"/>
      <c r="H16" s="66"/>
      <c r="I16" s="66"/>
    </row>
    <row r="17" spans="1:9" ht="17.5" customHeight="1" x14ac:dyDescent="0.3">
      <c r="A17" s="147"/>
      <c r="B17" s="147"/>
      <c r="C17" s="150"/>
      <c r="D17" s="120">
        <f>SUM(D15:D16)</f>
        <v>1351.25</v>
      </c>
      <c r="E17" s="118" t="s">
        <v>23</v>
      </c>
      <c r="F17" s="152"/>
      <c r="G17" s="144"/>
      <c r="H17" s="66"/>
      <c r="I17" s="66"/>
    </row>
    <row r="18" spans="1:9" ht="17.5" customHeight="1" x14ac:dyDescent="0.3">
      <c r="A18" s="147"/>
      <c r="B18" s="147"/>
      <c r="C18" s="150"/>
      <c r="D18" s="120">
        <f>ROUND(D17*23.59%,2)</f>
        <v>318.76</v>
      </c>
      <c r="E18" s="118" t="s">
        <v>24</v>
      </c>
      <c r="F18" s="152"/>
      <c r="G18" s="144"/>
      <c r="H18" s="66"/>
      <c r="I18" s="66"/>
    </row>
    <row r="19" spans="1:9" ht="17.5" customHeight="1" x14ac:dyDescent="0.3">
      <c r="A19" s="147"/>
      <c r="B19" s="147"/>
      <c r="C19" s="150"/>
      <c r="D19" s="120">
        <f>SUM(D17:D18)</f>
        <v>1670.01</v>
      </c>
      <c r="E19" s="118" t="s">
        <v>25</v>
      </c>
      <c r="F19" s="152"/>
      <c r="G19" s="144"/>
      <c r="H19" s="66"/>
      <c r="I19" s="66"/>
    </row>
    <row r="20" spans="1:9" ht="17.5" customHeight="1" x14ac:dyDescent="0.3">
      <c r="A20" s="147"/>
      <c r="B20" s="147"/>
      <c r="C20" s="150"/>
      <c r="D20" s="120">
        <f>D19*12</f>
        <v>20040.12</v>
      </c>
      <c r="E20" s="119" t="s">
        <v>33</v>
      </c>
      <c r="F20" s="152"/>
      <c r="G20" s="144"/>
      <c r="H20" s="66"/>
      <c r="I20" s="66"/>
    </row>
    <row r="21" spans="1:9" ht="17.5" customHeight="1" x14ac:dyDescent="0.3">
      <c r="A21" s="147"/>
      <c r="B21" s="147"/>
      <c r="C21" s="150"/>
      <c r="D21" s="120">
        <f>ROUND(D20/1720,2)</f>
        <v>11.65</v>
      </c>
      <c r="E21" s="119" t="s">
        <v>34</v>
      </c>
      <c r="F21" s="152"/>
      <c r="G21" s="144"/>
      <c r="H21" s="66"/>
      <c r="I21" s="66"/>
    </row>
    <row r="22" spans="1:9" ht="17.5" customHeight="1" x14ac:dyDescent="0.3">
      <c r="A22" s="147"/>
      <c r="B22" s="147"/>
      <c r="C22" s="150"/>
      <c r="D22" s="120">
        <f>ROUND(D21*6,2)</f>
        <v>69.900000000000006</v>
      </c>
      <c r="E22" s="119" t="s">
        <v>35</v>
      </c>
      <c r="F22" s="152"/>
      <c r="G22" s="144"/>
      <c r="H22" s="66"/>
      <c r="I22" s="66"/>
    </row>
    <row r="23" spans="1:9" ht="17.5" customHeight="1" x14ac:dyDescent="0.3">
      <c r="A23" s="147"/>
      <c r="B23" s="147"/>
      <c r="C23" s="150"/>
      <c r="D23" s="120">
        <f>ROUND(D22/16,2)</f>
        <v>4.37</v>
      </c>
      <c r="E23" s="119" t="s">
        <v>36</v>
      </c>
      <c r="F23" s="152"/>
      <c r="G23" s="144"/>
      <c r="H23" s="66"/>
      <c r="I23" s="66"/>
    </row>
    <row r="24" spans="1:9" ht="17.5" customHeight="1" x14ac:dyDescent="0.3">
      <c r="A24" s="146" t="s">
        <v>37</v>
      </c>
      <c r="B24" s="153">
        <v>0.5</v>
      </c>
      <c r="C24" s="155">
        <f>D32</f>
        <v>4.46</v>
      </c>
      <c r="D24" s="120">
        <v>1653</v>
      </c>
      <c r="E24" s="118" t="s">
        <v>20</v>
      </c>
      <c r="F24" s="151" t="s">
        <v>148</v>
      </c>
      <c r="G24" s="143" t="s">
        <v>38</v>
      </c>
      <c r="H24" s="66"/>
      <c r="I24" s="66"/>
    </row>
    <row r="25" spans="1:9" ht="17.5" customHeight="1" x14ac:dyDescent="0.3">
      <c r="A25" s="147"/>
      <c r="B25" s="154"/>
      <c r="C25" s="156"/>
      <c r="D25" s="120">
        <f>ROUND(D24*25%,2)</f>
        <v>413.25</v>
      </c>
      <c r="E25" s="118" t="s">
        <v>22</v>
      </c>
      <c r="F25" s="152"/>
      <c r="G25" s="144"/>
      <c r="H25" s="66"/>
      <c r="I25" s="66"/>
    </row>
    <row r="26" spans="1:9" ht="17.5" customHeight="1" x14ac:dyDescent="0.3">
      <c r="A26" s="147"/>
      <c r="B26" s="154"/>
      <c r="C26" s="156"/>
      <c r="D26" s="120">
        <f>SUM(D24:D25)</f>
        <v>2066.25</v>
      </c>
      <c r="E26" s="118" t="s">
        <v>23</v>
      </c>
      <c r="F26" s="152"/>
      <c r="G26" s="144"/>
      <c r="H26" s="66"/>
      <c r="I26" s="66"/>
    </row>
    <row r="27" spans="1:9" ht="17.5" customHeight="1" x14ac:dyDescent="0.3">
      <c r="A27" s="147"/>
      <c r="B27" s="154"/>
      <c r="C27" s="156"/>
      <c r="D27" s="120">
        <f>ROUND(D26*23.59%,2)</f>
        <v>487.43</v>
      </c>
      <c r="E27" s="118" t="s">
        <v>24</v>
      </c>
      <c r="F27" s="152"/>
      <c r="G27" s="144"/>
      <c r="H27" s="66"/>
      <c r="I27" s="66"/>
    </row>
    <row r="28" spans="1:9" ht="17.5" customHeight="1" x14ac:dyDescent="0.3">
      <c r="A28" s="147"/>
      <c r="B28" s="154"/>
      <c r="C28" s="156"/>
      <c r="D28" s="120">
        <f>SUM(D26:D27)</f>
        <v>2553.6799999999998</v>
      </c>
      <c r="E28" s="118" t="s">
        <v>25</v>
      </c>
      <c r="F28" s="152"/>
      <c r="G28" s="144"/>
      <c r="H28" s="66"/>
      <c r="I28" s="66"/>
    </row>
    <row r="29" spans="1:9" ht="17.5" customHeight="1" x14ac:dyDescent="0.3">
      <c r="A29" s="147"/>
      <c r="B29" s="154"/>
      <c r="C29" s="156"/>
      <c r="D29" s="120">
        <f>D28*12</f>
        <v>30644.159999999996</v>
      </c>
      <c r="E29" s="119" t="s">
        <v>33</v>
      </c>
      <c r="F29" s="152"/>
      <c r="G29" s="144"/>
      <c r="H29" s="66"/>
      <c r="I29" s="66"/>
    </row>
    <row r="30" spans="1:9" ht="17.5" customHeight="1" x14ac:dyDescent="0.3">
      <c r="A30" s="147"/>
      <c r="B30" s="154"/>
      <c r="C30" s="156"/>
      <c r="D30" s="120">
        <f>ROUND(D29/1720,2)</f>
        <v>17.82</v>
      </c>
      <c r="E30" s="119" t="s">
        <v>34</v>
      </c>
      <c r="F30" s="152"/>
      <c r="G30" s="144"/>
      <c r="H30" s="66"/>
      <c r="I30" s="66"/>
    </row>
    <row r="31" spans="1:9" ht="17.5" customHeight="1" x14ac:dyDescent="0.3">
      <c r="A31" s="147"/>
      <c r="B31" s="154"/>
      <c r="C31" s="156"/>
      <c r="D31" s="120">
        <f>D30*4</f>
        <v>71.28</v>
      </c>
      <c r="E31" s="119" t="s">
        <v>39</v>
      </c>
      <c r="F31" s="152"/>
      <c r="G31" s="144"/>
      <c r="H31" s="66"/>
      <c r="I31" s="66"/>
    </row>
    <row r="32" spans="1:9" ht="17.5" customHeight="1" x14ac:dyDescent="0.3">
      <c r="A32" s="147"/>
      <c r="B32" s="154"/>
      <c r="C32" s="156"/>
      <c r="D32" s="120">
        <f>ROUND(D31/16,2)</f>
        <v>4.46</v>
      </c>
      <c r="E32" s="119" t="s">
        <v>40</v>
      </c>
      <c r="F32" s="152"/>
      <c r="G32" s="144"/>
      <c r="H32" s="66"/>
      <c r="I32" s="66"/>
    </row>
    <row r="33" spans="1:8" x14ac:dyDescent="0.3">
      <c r="A33" s="146" t="s">
        <v>41</v>
      </c>
      <c r="B33" s="153">
        <v>0.5</v>
      </c>
      <c r="C33" s="155">
        <f>D40</f>
        <v>4.3099999999999996</v>
      </c>
      <c r="D33" s="120">
        <v>1999</v>
      </c>
      <c r="E33" s="118" t="s">
        <v>20</v>
      </c>
      <c r="F33" s="151" t="s">
        <v>152</v>
      </c>
      <c r="G33" s="143" t="s">
        <v>42</v>
      </c>
      <c r="H33" s="66"/>
    </row>
    <row r="34" spans="1:8" x14ac:dyDescent="0.3">
      <c r="A34" s="147"/>
      <c r="B34" s="154"/>
      <c r="C34" s="156"/>
      <c r="D34" s="210">
        <f>ROUND(D33*23.59%,2)</f>
        <v>471.56</v>
      </c>
      <c r="E34" s="118" t="s">
        <v>24</v>
      </c>
      <c r="F34" s="152"/>
      <c r="G34" s="144"/>
      <c r="H34" s="66"/>
    </row>
    <row r="35" spans="1:8" x14ac:dyDescent="0.3">
      <c r="A35" s="147"/>
      <c r="B35" s="154"/>
      <c r="C35" s="156"/>
      <c r="D35" s="120">
        <f>SUM(D33:D34)</f>
        <v>2470.56</v>
      </c>
      <c r="E35" s="118" t="s">
        <v>25</v>
      </c>
      <c r="F35" s="152"/>
      <c r="G35" s="144"/>
      <c r="H35" s="66"/>
    </row>
    <row r="36" spans="1:8" x14ac:dyDescent="0.3">
      <c r="A36" s="147"/>
      <c r="B36" s="154"/>
      <c r="C36" s="156"/>
      <c r="D36" s="120">
        <f>ROUND(D35*B33,2)</f>
        <v>1235.28</v>
      </c>
      <c r="E36" s="118" t="s">
        <v>43</v>
      </c>
      <c r="F36" s="152"/>
      <c r="G36" s="144"/>
      <c r="H36" s="66"/>
    </row>
    <row r="37" spans="1:8" x14ac:dyDescent="0.3">
      <c r="A37" s="147"/>
      <c r="B37" s="154"/>
      <c r="C37" s="156"/>
      <c r="D37" s="120">
        <f>D36*12</f>
        <v>14823.36</v>
      </c>
      <c r="E37" s="119" t="s">
        <v>33</v>
      </c>
      <c r="F37" s="152"/>
      <c r="G37" s="144"/>
      <c r="H37" s="66"/>
    </row>
    <row r="38" spans="1:8" x14ac:dyDescent="0.3">
      <c r="A38" s="147"/>
      <c r="B38" s="154"/>
      <c r="C38" s="156"/>
      <c r="D38" s="120">
        <f>ROUND(D37/1720,2)</f>
        <v>8.6199999999999992</v>
      </c>
      <c r="E38" s="119" t="s">
        <v>34</v>
      </c>
      <c r="F38" s="152"/>
      <c r="G38" s="144"/>
      <c r="H38" s="66"/>
    </row>
    <row r="39" spans="1:8" x14ac:dyDescent="0.3">
      <c r="A39" s="147"/>
      <c r="B39" s="154"/>
      <c r="C39" s="156"/>
      <c r="D39" s="120">
        <f>D38*8</f>
        <v>68.959999999999994</v>
      </c>
      <c r="E39" s="119" t="s">
        <v>44</v>
      </c>
      <c r="F39" s="152"/>
      <c r="G39" s="144"/>
      <c r="H39" s="66"/>
    </row>
    <row r="40" spans="1:8" x14ac:dyDescent="0.3">
      <c r="A40" s="148"/>
      <c r="B40" s="168"/>
      <c r="C40" s="169"/>
      <c r="D40" s="120">
        <f>ROUND(D39/16,2)</f>
        <v>4.3099999999999996</v>
      </c>
      <c r="E40" s="119" t="s">
        <v>45</v>
      </c>
      <c r="F40" s="170"/>
      <c r="G40" s="145"/>
      <c r="H40" s="66"/>
    </row>
    <row r="41" spans="1:8" ht="17.5" customHeight="1" x14ac:dyDescent="0.3">
      <c r="A41" s="146" t="s">
        <v>46</v>
      </c>
      <c r="B41" s="153">
        <v>0.2</v>
      </c>
      <c r="C41" s="155">
        <f>D48</f>
        <v>1.2</v>
      </c>
      <c r="D41" s="120">
        <v>1388</v>
      </c>
      <c r="E41" s="118" t="s">
        <v>20</v>
      </c>
      <c r="F41" s="151" t="s">
        <v>153</v>
      </c>
      <c r="G41" s="143" t="s">
        <v>47</v>
      </c>
      <c r="H41" s="66"/>
    </row>
    <row r="42" spans="1:8" ht="17.5" customHeight="1" x14ac:dyDescent="0.3">
      <c r="A42" s="147"/>
      <c r="B42" s="154"/>
      <c r="C42" s="156"/>
      <c r="D42" s="210">
        <f>ROUND(D41*23.59%,2)</f>
        <v>327.43</v>
      </c>
      <c r="E42" s="118" t="s">
        <v>24</v>
      </c>
      <c r="F42" s="152"/>
      <c r="G42" s="144"/>
      <c r="H42" s="66"/>
    </row>
    <row r="43" spans="1:8" ht="17.5" customHeight="1" x14ac:dyDescent="0.3">
      <c r="A43" s="147"/>
      <c r="B43" s="154"/>
      <c r="C43" s="156"/>
      <c r="D43" s="120">
        <f>SUM(D41:D42)</f>
        <v>1715.43</v>
      </c>
      <c r="E43" s="118" t="s">
        <v>25</v>
      </c>
      <c r="F43" s="152"/>
      <c r="G43" s="144"/>
      <c r="H43" s="66"/>
    </row>
    <row r="44" spans="1:8" ht="17.5" customHeight="1" x14ac:dyDescent="0.3">
      <c r="A44" s="147"/>
      <c r="B44" s="154"/>
      <c r="C44" s="156"/>
      <c r="D44" s="120">
        <f>ROUND(D43*B41,2)</f>
        <v>343.09</v>
      </c>
      <c r="E44" s="118" t="s">
        <v>48</v>
      </c>
      <c r="F44" s="152"/>
      <c r="G44" s="144"/>
      <c r="H44" s="66"/>
    </row>
    <row r="45" spans="1:8" ht="17.5" customHeight="1" x14ac:dyDescent="0.3">
      <c r="A45" s="147"/>
      <c r="B45" s="154"/>
      <c r="C45" s="156"/>
      <c r="D45" s="120">
        <f>D44*12</f>
        <v>4117.08</v>
      </c>
      <c r="E45" s="119" t="s">
        <v>33</v>
      </c>
      <c r="F45" s="152"/>
      <c r="G45" s="144"/>
      <c r="H45" s="66"/>
    </row>
    <row r="46" spans="1:8" ht="17.5" customHeight="1" x14ac:dyDescent="0.3">
      <c r="A46" s="147"/>
      <c r="B46" s="154"/>
      <c r="C46" s="156"/>
      <c r="D46" s="120">
        <f>ROUND(D45/1720,2)</f>
        <v>2.39</v>
      </c>
      <c r="E46" s="119" t="s">
        <v>34</v>
      </c>
      <c r="F46" s="152"/>
      <c r="G46" s="144"/>
      <c r="H46" s="66"/>
    </row>
    <row r="47" spans="1:8" ht="17.5" customHeight="1" x14ac:dyDescent="0.3">
      <c r="A47" s="147"/>
      <c r="B47" s="154"/>
      <c r="C47" s="156"/>
      <c r="D47" s="120">
        <f>D46*8</f>
        <v>19.12</v>
      </c>
      <c r="E47" s="119" t="s">
        <v>44</v>
      </c>
      <c r="F47" s="152"/>
      <c r="G47" s="144"/>
      <c r="H47" s="66"/>
    </row>
    <row r="48" spans="1:8" ht="17.5" customHeight="1" x14ac:dyDescent="0.3">
      <c r="A48" s="148"/>
      <c r="B48" s="168"/>
      <c r="C48" s="169"/>
      <c r="D48" s="120">
        <f>ROUND(D47/16,2)</f>
        <v>1.2</v>
      </c>
      <c r="E48" s="119" t="s">
        <v>45</v>
      </c>
      <c r="F48" s="170"/>
      <c r="G48" s="145"/>
      <c r="H48" s="66"/>
    </row>
    <row r="49" spans="1:7" s="37" customFormat="1" ht="56" x14ac:dyDescent="0.3">
      <c r="A49" s="45" t="s">
        <v>49</v>
      </c>
      <c r="B49" s="45" t="s">
        <v>50</v>
      </c>
      <c r="C49" s="46">
        <f>SUM(C50:C59)</f>
        <v>3.7100000000000004</v>
      </c>
      <c r="D49" s="140"/>
      <c r="E49" s="141"/>
      <c r="F49" s="141"/>
      <c r="G49" s="142"/>
    </row>
    <row r="50" spans="1:7" ht="47.15" customHeight="1" x14ac:dyDescent="0.3">
      <c r="A50" s="11" t="str">
        <f>'3.4. pielikums'!B10</f>
        <v>Kancelejas preces un biroja preces</v>
      </c>
      <c r="B50" s="159">
        <v>0.34699999999999998</v>
      </c>
      <c r="C50" s="115">
        <f>ROUND('3.4. pielikums'!AJ10*(1+$B$50),2)</f>
        <v>0.12</v>
      </c>
      <c r="D50" s="126" t="s">
        <v>51</v>
      </c>
      <c r="E50" s="127"/>
      <c r="F50" s="128"/>
      <c r="G50" s="42"/>
    </row>
    <row r="51" spans="1:7" ht="47.15" customHeight="1" x14ac:dyDescent="0.3">
      <c r="A51" s="11" t="str">
        <f>'3.4. pielikums'!B8</f>
        <v>Saimniecības un higiēnas preces</v>
      </c>
      <c r="B51" s="160"/>
      <c r="C51" s="115">
        <f>ROUND('3.4. pielikums'!AJ8*(1+$B$50),2)</f>
        <v>0.22</v>
      </c>
      <c r="D51" s="129"/>
      <c r="E51" s="130"/>
      <c r="F51" s="131"/>
      <c r="G51" s="42"/>
    </row>
    <row r="52" spans="1:7" ht="47.15" customHeight="1" x14ac:dyDescent="0.3">
      <c r="A52" s="11" t="str">
        <f>'3.4. pielikums'!B11</f>
        <v>Transports (degviela, īre, apkope, adrošināšana u.c.)</v>
      </c>
      <c r="B52" s="160"/>
      <c r="C52" s="115">
        <f>ROUND('3.4. pielikums'!AJ11*(1+$B$50),2)</f>
        <v>0.16</v>
      </c>
      <c r="D52" s="129"/>
      <c r="E52" s="130"/>
      <c r="F52" s="131"/>
      <c r="G52" s="42"/>
    </row>
    <row r="53" spans="1:7" ht="56" x14ac:dyDescent="0.3">
      <c r="A53" s="11" t="str">
        <f>'3.4. pielikums'!B12</f>
        <v>Telpas (īre, komunālie maksājumi, uzturēšanas pasākumi)</v>
      </c>
      <c r="B53" s="160"/>
      <c r="C53" s="115">
        <f>ROUND('3.4. pielikums'!AJ12*(1+$B$50),2)</f>
        <v>1.37</v>
      </c>
      <c r="D53" s="129"/>
      <c r="E53" s="130"/>
      <c r="F53" s="131"/>
      <c r="G53" s="49" t="s">
        <v>52</v>
      </c>
    </row>
    <row r="54" spans="1:7" ht="47.15" customHeight="1" x14ac:dyDescent="0.3">
      <c r="A54" s="11" t="str">
        <f>'3.4. pielikums'!B16</f>
        <v>Saimnieciskie pamatlīdzekļi,  inventārs, inventāra remonts (materiāli un pakalpojums)</v>
      </c>
      <c r="B54" s="160"/>
      <c r="C54" s="115">
        <f>ROUND('3.4. pielikums'!AJ16*(1+$B$50),2)</f>
        <v>0.2</v>
      </c>
      <c r="D54" s="129"/>
      <c r="E54" s="130"/>
      <c r="F54" s="131"/>
      <c r="G54" s="42"/>
    </row>
    <row r="55" spans="1:7" ht="47.15" customHeight="1" x14ac:dyDescent="0.3">
      <c r="A55" s="11" t="str">
        <f>'3.4. pielikums'!B6</f>
        <v>Sakaru pakalpojumi (telefons, internets, pasts)</v>
      </c>
      <c r="B55" s="160"/>
      <c r="C55" s="115">
        <f>ROUND('3.4. pielikums'!AJ6*(1+$B$50),2)</f>
        <v>0.36</v>
      </c>
      <c r="D55" s="129"/>
      <c r="E55" s="130"/>
      <c r="F55" s="131"/>
      <c r="G55" s="42"/>
    </row>
    <row r="56" spans="1:7" ht="47.15" customHeight="1" x14ac:dyDescent="0.3">
      <c r="A56" s="11" t="str">
        <f>'3.4. pielikums'!B14</f>
        <v>Darbinieku izglītības izdevumi</v>
      </c>
      <c r="B56" s="160"/>
      <c r="C56" s="115">
        <f>ROUND('3.4. pielikums'!AJ14*(1+$B$50),2)</f>
        <v>0.08</v>
      </c>
      <c r="D56" s="129"/>
      <c r="E56" s="130"/>
      <c r="F56" s="131"/>
      <c r="G56" s="42"/>
    </row>
    <row r="57" spans="1:7" ht="56" x14ac:dyDescent="0.3">
      <c r="A57" s="11" t="str">
        <f>'3.4. pielikums'!B15</f>
        <v>Ar admin.darbību saistītie izdevumi (darba aizsardz.sist.uzturēš.pak., bankas konta apkalp. u.c.)</v>
      </c>
      <c r="B57" s="160"/>
      <c r="C57" s="115">
        <f>ROUND('3.4. pielikums'!AJ15*(1+$B$50),2)</f>
        <v>0.35</v>
      </c>
      <c r="D57" s="132"/>
      <c r="E57" s="133"/>
      <c r="F57" s="134"/>
      <c r="G57" s="42"/>
    </row>
    <row r="58" spans="1:7" ht="28" x14ac:dyDescent="0.3">
      <c r="A58" s="48" t="s">
        <v>53</v>
      </c>
      <c r="B58" s="160"/>
      <c r="C58" s="115">
        <f>ROUND('3.5. pielikums'!F11*(1+$B$50),2)</f>
        <v>0.28000000000000003</v>
      </c>
      <c r="D58" s="135" t="s">
        <v>54</v>
      </c>
      <c r="E58" s="136"/>
      <c r="F58" s="137"/>
      <c r="G58" s="42"/>
    </row>
    <row r="59" spans="1:7" ht="34.5" customHeight="1" x14ac:dyDescent="0.3">
      <c r="A59" s="48" t="s">
        <v>55</v>
      </c>
      <c r="B59" s="161"/>
      <c r="C59" s="116">
        <f>ROUND('3.6. pielikums'!G6*(1+$B$50),2)</f>
        <v>0.56999999999999995</v>
      </c>
      <c r="D59" s="135" t="s">
        <v>56</v>
      </c>
      <c r="E59" s="136"/>
      <c r="F59" s="137"/>
      <c r="G59" s="42"/>
    </row>
    <row r="60" spans="1:7" x14ac:dyDescent="0.3">
      <c r="A60" s="43" t="s">
        <v>57</v>
      </c>
      <c r="B60" s="138">
        <f>C49+C4</f>
        <v>28.93</v>
      </c>
      <c r="C60" s="139"/>
      <c r="D60"/>
      <c r="E60"/>
      <c r="F60" s="63"/>
      <c r="G60" s="63"/>
    </row>
    <row r="61" spans="1:7" x14ac:dyDescent="0.3">
      <c r="C61" s="66"/>
    </row>
    <row r="62" spans="1:7" x14ac:dyDescent="0.3">
      <c r="A62" s="121" t="s">
        <v>58</v>
      </c>
      <c r="B62" s="121"/>
      <c r="C62" s="121"/>
      <c r="D62" s="121"/>
      <c r="E62" s="121"/>
      <c r="F62" s="121"/>
      <c r="G62" s="121"/>
    </row>
    <row r="63" spans="1:7" x14ac:dyDescent="0.3">
      <c r="C63" s="66"/>
    </row>
  </sheetData>
  <mergeCells count="33">
    <mergeCell ref="G5:G14"/>
    <mergeCell ref="A1:G1"/>
    <mergeCell ref="A2:G2"/>
    <mergeCell ref="B50:B59"/>
    <mergeCell ref="A5:A14"/>
    <mergeCell ref="B5:B14"/>
    <mergeCell ref="C5:C14"/>
    <mergeCell ref="F5:F14"/>
    <mergeCell ref="B33:B40"/>
    <mergeCell ref="C33:C40"/>
    <mergeCell ref="F33:F40"/>
    <mergeCell ref="G33:G40"/>
    <mergeCell ref="A41:A48"/>
    <mergeCell ref="B41:B48"/>
    <mergeCell ref="C41:C48"/>
    <mergeCell ref="F41:F48"/>
    <mergeCell ref="G41:G48"/>
    <mergeCell ref="A33:A40"/>
    <mergeCell ref="A15:A23"/>
    <mergeCell ref="B15:B23"/>
    <mergeCell ref="C15:C23"/>
    <mergeCell ref="F15:F23"/>
    <mergeCell ref="G15:G23"/>
    <mergeCell ref="A24:A32"/>
    <mergeCell ref="B24:B32"/>
    <mergeCell ref="C24:C32"/>
    <mergeCell ref="F24:F32"/>
    <mergeCell ref="G24:G32"/>
    <mergeCell ref="D50:F57"/>
    <mergeCell ref="D58:F58"/>
    <mergeCell ref="D59:F59"/>
    <mergeCell ref="B60:C60"/>
    <mergeCell ref="D49:G49"/>
  </mergeCells>
  <pageMargins left="0.70866141732283472" right="0.70866141732283472" top="0.74803149606299213" bottom="0.74803149606299213" header="0.31496062992125984" footer="0.31496062992125984"/>
  <pageSetup paperSize="9" scale="3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3"/>
  <sheetViews>
    <sheetView zoomScale="63" zoomScaleNormal="63" workbookViewId="0">
      <selection sqref="A1:G1"/>
    </sheetView>
  </sheetViews>
  <sheetFormatPr defaultColWidth="9.1796875" defaultRowHeight="14" x14ac:dyDescent="0.3"/>
  <cols>
    <col min="1" max="1" width="29" style="2" customWidth="1"/>
    <col min="2" max="3" width="9.1796875" style="2"/>
    <col min="4" max="4" width="9.81640625" style="2" bestFit="1" customWidth="1"/>
    <col min="5" max="5" width="36.81640625" style="2" customWidth="1"/>
    <col min="6" max="6" width="108.26953125" style="2" customWidth="1"/>
    <col min="7" max="7" width="64.54296875" style="2" customWidth="1"/>
    <col min="8" max="8" width="11.54296875" style="2" bestFit="1" customWidth="1"/>
    <col min="9" max="16384" width="9.1796875" style="2"/>
  </cols>
  <sheetData>
    <row r="1" spans="1:10" x14ac:dyDescent="0.3">
      <c r="A1" s="125" t="s">
        <v>59</v>
      </c>
      <c r="B1" s="125"/>
      <c r="C1" s="125"/>
      <c r="D1" s="125"/>
      <c r="E1" s="125"/>
      <c r="F1" s="125"/>
      <c r="G1" s="125"/>
    </row>
    <row r="2" spans="1:10" x14ac:dyDescent="0.3">
      <c r="A2" s="171" t="s">
        <v>60</v>
      </c>
      <c r="B2" s="171"/>
      <c r="C2" s="171"/>
      <c r="D2" s="171"/>
      <c r="E2" s="171"/>
      <c r="F2" s="171"/>
      <c r="G2" s="171"/>
    </row>
    <row r="3" spans="1:10" ht="56" x14ac:dyDescent="0.3">
      <c r="A3" s="113"/>
      <c r="B3" s="109" t="s">
        <v>12</v>
      </c>
      <c r="C3" s="109" t="s">
        <v>13</v>
      </c>
      <c r="D3" s="109"/>
      <c r="E3" s="109" t="s">
        <v>14</v>
      </c>
      <c r="F3" s="112" t="s">
        <v>15</v>
      </c>
      <c r="G3" s="112" t="s">
        <v>16</v>
      </c>
    </row>
    <row r="4" spans="1:10" x14ac:dyDescent="0.3">
      <c r="A4" s="45" t="s">
        <v>17</v>
      </c>
      <c r="B4" s="62">
        <f>SUM(B15:B48)</f>
        <v>1.95</v>
      </c>
      <c r="C4" s="46">
        <f>C5+C15+C24+C33+C41</f>
        <v>36.870000000000005</v>
      </c>
      <c r="D4" s="47"/>
      <c r="E4" s="45"/>
      <c r="F4" s="114" t="s">
        <v>18</v>
      </c>
      <c r="G4" s="33"/>
      <c r="H4" s="66"/>
    </row>
    <row r="5" spans="1:10" ht="36" customHeight="1" x14ac:dyDescent="0.3">
      <c r="A5" s="162" t="s">
        <v>61</v>
      </c>
      <c r="B5" s="164">
        <v>7.37</v>
      </c>
      <c r="C5" s="149">
        <f>D14</f>
        <v>22.53</v>
      </c>
      <c r="D5" s="123">
        <v>946</v>
      </c>
      <c r="E5" s="55" t="s">
        <v>20</v>
      </c>
      <c r="F5" s="151" t="s">
        <v>146</v>
      </c>
      <c r="G5" s="166" t="s">
        <v>62</v>
      </c>
      <c r="H5" s="66"/>
      <c r="I5" s="66"/>
      <c r="J5" s="66"/>
    </row>
    <row r="6" spans="1:10" ht="36" customHeight="1" x14ac:dyDescent="0.3">
      <c r="A6" s="163"/>
      <c r="B6" s="165"/>
      <c r="C6" s="150"/>
      <c r="D6" s="123">
        <f>ROUND(D5*25%,2)</f>
        <v>236.5</v>
      </c>
      <c r="E6" s="55" t="s">
        <v>22</v>
      </c>
      <c r="F6" s="152"/>
      <c r="G6" s="167"/>
      <c r="H6" s="66"/>
      <c r="I6" s="66"/>
      <c r="J6" s="66"/>
    </row>
    <row r="7" spans="1:10" ht="36" customHeight="1" x14ac:dyDescent="0.3">
      <c r="A7" s="163"/>
      <c r="B7" s="165"/>
      <c r="C7" s="150"/>
      <c r="D7" s="123">
        <f>D5+D6</f>
        <v>1182.5</v>
      </c>
      <c r="E7" s="55" t="s">
        <v>23</v>
      </c>
      <c r="F7" s="152"/>
      <c r="G7" s="167"/>
      <c r="H7" s="66"/>
      <c r="I7" s="66"/>
      <c r="J7" s="66"/>
    </row>
    <row r="8" spans="1:10" ht="36" customHeight="1" x14ac:dyDescent="0.3">
      <c r="A8" s="163"/>
      <c r="B8" s="165"/>
      <c r="C8" s="150"/>
      <c r="D8" s="123">
        <f>ROUND(D7*23.59%,2)</f>
        <v>278.95</v>
      </c>
      <c r="E8" s="55" t="s">
        <v>24</v>
      </c>
      <c r="F8" s="152"/>
      <c r="G8" s="167"/>
      <c r="H8" s="66"/>
      <c r="I8" s="66"/>
      <c r="J8" s="66"/>
    </row>
    <row r="9" spans="1:10" ht="36" customHeight="1" x14ac:dyDescent="0.3">
      <c r="A9" s="163"/>
      <c r="B9" s="165"/>
      <c r="C9" s="150"/>
      <c r="D9" s="117">
        <f>D7+D8</f>
        <v>1461.45</v>
      </c>
      <c r="E9" s="55" t="s">
        <v>25</v>
      </c>
      <c r="F9" s="152"/>
      <c r="G9" s="167"/>
      <c r="H9" s="66"/>
      <c r="I9" s="66"/>
      <c r="J9" s="66"/>
    </row>
    <row r="10" spans="1:10" ht="36" customHeight="1" x14ac:dyDescent="0.3">
      <c r="A10" s="163"/>
      <c r="B10" s="165"/>
      <c r="C10" s="150"/>
      <c r="D10" s="117">
        <f>ROUND(D9*12,2)</f>
        <v>17537.400000000001</v>
      </c>
      <c r="E10" s="55" t="s">
        <v>26</v>
      </c>
      <c r="F10" s="152"/>
      <c r="G10" s="167"/>
      <c r="H10" s="66"/>
      <c r="I10" s="66"/>
      <c r="J10" s="66"/>
    </row>
    <row r="11" spans="1:10" ht="36" customHeight="1" x14ac:dyDescent="0.3">
      <c r="A11" s="163"/>
      <c r="B11" s="165"/>
      <c r="C11" s="150"/>
      <c r="D11" s="117">
        <f>ROUND(D10/1720,2)</f>
        <v>10.199999999999999</v>
      </c>
      <c r="E11" s="55" t="s">
        <v>27</v>
      </c>
      <c r="F11" s="152"/>
      <c r="G11" s="167"/>
      <c r="H11" s="66"/>
      <c r="I11" s="66"/>
      <c r="J11" s="66"/>
    </row>
    <row r="12" spans="1:10" ht="36" customHeight="1" x14ac:dyDescent="0.3">
      <c r="A12" s="163"/>
      <c r="B12" s="165"/>
      <c r="C12" s="150"/>
      <c r="D12" s="117">
        <f>ROUND(D11/16,2)</f>
        <v>0.64</v>
      </c>
      <c r="E12" s="55" t="s">
        <v>28</v>
      </c>
      <c r="F12" s="152"/>
      <c r="G12" s="167"/>
      <c r="H12" s="66"/>
      <c r="I12" s="66"/>
      <c r="J12" s="66"/>
    </row>
    <row r="13" spans="1:10" ht="36" customHeight="1" x14ac:dyDescent="0.3">
      <c r="A13" s="163"/>
      <c r="B13" s="165"/>
      <c r="C13" s="150"/>
      <c r="D13" s="117">
        <f>ROUND(D12*1056,2)</f>
        <v>675.84</v>
      </c>
      <c r="E13" s="55" t="s">
        <v>63</v>
      </c>
      <c r="F13" s="152"/>
      <c r="G13" s="167"/>
      <c r="H13" s="66"/>
      <c r="I13" s="66"/>
      <c r="J13" s="66"/>
    </row>
    <row r="14" spans="1:10" ht="34" customHeight="1" x14ac:dyDescent="0.3">
      <c r="A14" s="163"/>
      <c r="B14" s="165"/>
      <c r="C14" s="150"/>
      <c r="D14" s="117">
        <f>ROUND(D13/30,2)</f>
        <v>22.53</v>
      </c>
      <c r="E14" s="55" t="s">
        <v>64</v>
      </c>
      <c r="F14" s="152"/>
      <c r="G14" s="167"/>
      <c r="H14" s="66"/>
      <c r="I14" s="66"/>
      <c r="J14" s="66"/>
    </row>
    <row r="15" spans="1:10" ht="17.5" customHeight="1" x14ac:dyDescent="0.3">
      <c r="A15" s="146" t="s">
        <v>31</v>
      </c>
      <c r="B15" s="146">
        <v>0.75</v>
      </c>
      <c r="C15" s="149">
        <f>D23</f>
        <v>4.37</v>
      </c>
      <c r="D15" s="120">
        <v>1081</v>
      </c>
      <c r="E15" s="118" t="s">
        <v>20</v>
      </c>
      <c r="F15" s="151" t="s">
        <v>147</v>
      </c>
      <c r="G15" s="143" t="s">
        <v>65</v>
      </c>
      <c r="H15" s="66"/>
      <c r="I15" s="66"/>
    </row>
    <row r="16" spans="1:10" ht="17.5" customHeight="1" x14ac:dyDescent="0.3">
      <c r="A16" s="147"/>
      <c r="B16" s="147"/>
      <c r="C16" s="150"/>
      <c r="D16" s="120">
        <f>ROUND(D15*25%,2)</f>
        <v>270.25</v>
      </c>
      <c r="E16" s="118" t="s">
        <v>22</v>
      </c>
      <c r="F16" s="152"/>
      <c r="G16" s="144"/>
      <c r="H16" s="66"/>
      <c r="I16" s="66"/>
    </row>
    <row r="17" spans="1:9" ht="17.5" customHeight="1" x14ac:dyDescent="0.3">
      <c r="A17" s="147"/>
      <c r="B17" s="147"/>
      <c r="C17" s="150"/>
      <c r="D17" s="120">
        <f>SUM(D15:D16)</f>
        <v>1351.25</v>
      </c>
      <c r="E17" s="118" t="s">
        <v>23</v>
      </c>
      <c r="F17" s="152"/>
      <c r="G17" s="144"/>
      <c r="H17" s="66"/>
      <c r="I17" s="66"/>
    </row>
    <row r="18" spans="1:9" ht="17.5" customHeight="1" x14ac:dyDescent="0.3">
      <c r="A18" s="147"/>
      <c r="B18" s="147"/>
      <c r="C18" s="150"/>
      <c r="D18" s="120">
        <f>ROUND(D17*23.59%,2)</f>
        <v>318.76</v>
      </c>
      <c r="E18" s="118" t="s">
        <v>24</v>
      </c>
      <c r="F18" s="152"/>
      <c r="G18" s="144"/>
      <c r="H18" s="66"/>
      <c r="I18" s="66"/>
    </row>
    <row r="19" spans="1:9" ht="17.5" customHeight="1" x14ac:dyDescent="0.3">
      <c r="A19" s="147"/>
      <c r="B19" s="147"/>
      <c r="C19" s="150"/>
      <c r="D19" s="120">
        <f>SUM(D17:D18)</f>
        <v>1670.01</v>
      </c>
      <c r="E19" s="118" t="s">
        <v>25</v>
      </c>
      <c r="F19" s="152"/>
      <c r="G19" s="144"/>
      <c r="H19" s="66"/>
      <c r="I19" s="66"/>
    </row>
    <row r="20" spans="1:9" ht="17.5" customHeight="1" x14ac:dyDescent="0.3">
      <c r="A20" s="147"/>
      <c r="B20" s="147"/>
      <c r="C20" s="150"/>
      <c r="D20" s="120">
        <f>D19*12</f>
        <v>20040.12</v>
      </c>
      <c r="E20" s="119" t="s">
        <v>33</v>
      </c>
      <c r="F20" s="152"/>
      <c r="G20" s="144"/>
      <c r="H20" s="66"/>
      <c r="I20" s="66"/>
    </row>
    <row r="21" spans="1:9" ht="17.5" customHeight="1" x14ac:dyDescent="0.3">
      <c r="A21" s="147"/>
      <c r="B21" s="147"/>
      <c r="C21" s="150"/>
      <c r="D21" s="120">
        <f>ROUND(D20/1720,2)</f>
        <v>11.65</v>
      </c>
      <c r="E21" s="119" t="s">
        <v>34</v>
      </c>
      <c r="F21" s="152"/>
      <c r="G21" s="144"/>
      <c r="H21" s="66"/>
      <c r="I21" s="66"/>
    </row>
    <row r="22" spans="1:9" ht="17.5" customHeight="1" x14ac:dyDescent="0.3">
      <c r="A22" s="147"/>
      <c r="B22" s="147"/>
      <c r="C22" s="150"/>
      <c r="D22" s="120">
        <f>ROUND(D21*6,2)</f>
        <v>69.900000000000006</v>
      </c>
      <c r="E22" s="119" t="s">
        <v>35</v>
      </c>
      <c r="F22" s="152"/>
      <c r="G22" s="144"/>
      <c r="H22" s="66"/>
      <c r="I22" s="66"/>
    </row>
    <row r="23" spans="1:9" ht="17.5" customHeight="1" x14ac:dyDescent="0.3">
      <c r="A23" s="147"/>
      <c r="B23" s="147"/>
      <c r="C23" s="150"/>
      <c r="D23" s="120">
        <f>ROUND(D22/16,2)</f>
        <v>4.37</v>
      </c>
      <c r="E23" s="119" t="s">
        <v>36</v>
      </c>
      <c r="F23" s="152"/>
      <c r="G23" s="144"/>
      <c r="H23" s="66"/>
      <c r="I23" s="66"/>
    </row>
    <row r="24" spans="1:9" ht="17.5" customHeight="1" x14ac:dyDescent="0.3">
      <c r="A24" s="146" t="s">
        <v>37</v>
      </c>
      <c r="B24" s="153">
        <v>0.5</v>
      </c>
      <c r="C24" s="155">
        <f>D32</f>
        <v>4.46</v>
      </c>
      <c r="D24" s="120">
        <v>1653</v>
      </c>
      <c r="E24" s="118" t="s">
        <v>20</v>
      </c>
      <c r="F24" s="151" t="s">
        <v>148</v>
      </c>
      <c r="G24" s="143" t="s">
        <v>38</v>
      </c>
      <c r="H24" s="66"/>
      <c r="I24" s="66"/>
    </row>
    <row r="25" spans="1:9" ht="17.5" customHeight="1" x14ac:dyDescent="0.3">
      <c r="A25" s="147"/>
      <c r="B25" s="154"/>
      <c r="C25" s="156"/>
      <c r="D25" s="120">
        <f>ROUND(D24*25%,2)</f>
        <v>413.25</v>
      </c>
      <c r="E25" s="118" t="s">
        <v>22</v>
      </c>
      <c r="F25" s="152"/>
      <c r="G25" s="144"/>
      <c r="H25" s="66"/>
      <c r="I25" s="66"/>
    </row>
    <row r="26" spans="1:9" ht="17.5" customHeight="1" x14ac:dyDescent="0.3">
      <c r="A26" s="147"/>
      <c r="B26" s="154"/>
      <c r="C26" s="156"/>
      <c r="D26" s="120">
        <f>SUM(D24:D25)</f>
        <v>2066.25</v>
      </c>
      <c r="E26" s="118" t="s">
        <v>23</v>
      </c>
      <c r="F26" s="152"/>
      <c r="G26" s="144"/>
      <c r="H26" s="66"/>
      <c r="I26" s="66"/>
    </row>
    <row r="27" spans="1:9" ht="17.5" customHeight="1" x14ac:dyDescent="0.3">
      <c r="A27" s="147"/>
      <c r="B27" s="154"/>
      <c r="C27" s="156"/>
      <c r="D27" s="120">
        <f>ROUND(D26*23.59%,2)</f>
        <v>487.43</v>
      </c>
      <c r="E27" s="118" t="s">
        <v>24</v>
      </c>
      <c r="F27" s="152"/>
      <c r="G27" s="144"/>
      <c r="H27" s="66"/>
      <c r="I27" s="66"/>
    </row>
    <row r="28" spans="1:9" ht="17.5" customHeight="1" x14ac:dyDescent="0.3">
      <c r="A28" s="147"/>
      <c r="B28" s="154"/>
      <c r="C28" s="156"/>
      <c r="D28" s="120">
        <f>SUM(D26:D27)</f>
        <v>2553.6799999999998</v>
      </c>
      <c r="E28" s="118" t="s">
        <v>25</v>
      </c>
      <c r="F28" s="152"/>
      <c r="G28" s="144"/>
      <c r="H28" s="66"/>
      <c r="I28" s="66"/>
    </row>
    <row r="29" spans="1:9" ht="17.5" customHeight="1" x14ac:dyDescent="0.3">
      <c r="A29" s="147"/>
      <c r="B29" s="154"/>
      <c r="C29" s="156"/>
      <c r="D29" s="120">
        <f>D28*12</f>
        <v>30644.159999999996</v>
      </c>
      <c r="E29" s="119" t="s">
        <v>33</v>
      </c>
      <c r="F29" s="152"/>
      <c r="G29" s="144"/>
      <c r="H29" s="66"/>
      <c r="I29" s="66"/>
    </row>
    <row r="30" spans="1:9" ht="17.5" customHeight="1" x14ac:dyDescent="0.3">
      <c r="A30" s="147"/>
      <c r="B30" s="154"/>
      <c r="C30" s="156"/>
      <c r="D30" s="120">
        <f>ROUND(D29/1720,2)</f>
        <v>17.82</v>
      </c>
      <c r="E30" s="119" t="s">
        <v>34</v>
      </c>
      <c r="F30" s="152"/>
      <c r="G30" s="144"/>
      <c r="H30" s="66"/>
      <c r="I30" s="66"/>
    </row>
    <row r="31" spans="1:9" ht="17.5" customHeight="1" x14ac:dyDescent="0.3">
      <c r="A31" s="147"/>
      <c r="B31" s="154"/>
      <c r="C31" s="156"/>
      <c r="D31" s="120">
        <f>D30*4</f>
        <v>71.28</v>
      </c>
      <c r="E31" s="119" t="s">
        <v>39</v>
      </c>
      <c r="F31" s="152"/>
      <c r="G31" s="144"/>
      <c r="H31" s="66"/>
      <c r="I31" s="66"/>
    </row>
    <row r="32" spans="1:9" ht="17.5" customHeight="1" x14ac:dyDescent="0.3">
      <c r="A32" s="147"/>
      <c r="B32" s="154"/>
      <c r="C32" s="156"/>
      <c r="D32" s="120">
        <f>ROUND(D31/16,2)</f>
        <v>4.46</v>
      </c>
      <c r="E32" s="119" t="s">
        <v>40</v>
      </c>
      <c r="F32" s="152"/>
      <c r="G32" s="144"/>
      <c r="H32" s="66"/>
      <c r="I32" s="66"/>
    </row>
    <row r="33" spans="1:8" x14ac:dyDescent="0.3">
      <c r="A33" s="146" t="s">
        <v>41</v>
      </c>
      <c r="B33" s="153">
        <v>0.5</v>
      </c>
      <c r="C33" s="155">
        <f>D40</f>
        <v>4.3099999999999996</v>
      </c>
      <c r="D33" s="120">
        <v>1999</v>
      </c>
      <c r="E33" s="118" t="s">
        <v>20</v>
      </c>
      <c r="F33" s="151" t="s">
        <v>149</v>
      </c>
      <c r="G33" s="143" t="s">
        <v>42</v>
      </c>
      <c r="H33" s="66"/>
    </row>
    <row r="34" spans="1:8" x14ac:dyDescent="0.3">
      <c r="A34" s="147"/>
      <c r="B34" s="154"/>
      <c r="C34" s="156"/>
      <c r="D34" s="210">
        <f>ROUND(D33*23.59%,2)</f>
        <v>471.56</v>
      </c>
      <c r="E34" s="118" t="s">
        <v>24</v>
      </c>
      <c r="F34" s="152"/>
      <c r="G34" s="144"/>
      <c r="H34" s="66"/>
    </row>
    <row r="35" spans="1:8" x14ac:dyDescent="0.3">
      <c r="A35" s="147"/>
      <c r="B35" s="154"/>
      <c r="C35" s="156"/>
      <c r="D35" s="120">
        <f>SUM(D33:D34)</f>
        <v>2470.56</v>
      </c>
      <c r="E35" s="118" t="s">
        <v>25</v>
      </c>
      <c r="F35" s="152"/>
      <c r="G35" s="144"/>
      <c r="H35" s="66"/>
    </row>
    <row r="36" spans="1:8" x14ac:dyDescent="0.3">
      <c r="A36" s="147"/>
      <c r="B36" s="154"/>
      <c r="C36" s="156"/>
      <c r="D36" s="120">
        <f>ROUND(D35*B33,2)</f>
        <v>1235.28</v>
      </c>
      <c r="E36" s="118" t="s">
        <v>43</v>
      </c>
      <c r="F36" s="152"/>
      <c r="G36" s="144"/>
      <c r="H36" s="66"/>
    </row>
    <row r="37" spans="1:8" x14ac:dyDescent="0.3">
      <c r="A37" s="147"/>
      <c r="B37" s="154"/>
      <c r="C37" s="156"/>
      <c r="D37" s="120">
        <f>D36*12</f>
        <v>14823.36</v>
      </c>
      <c r="E37" s="119" t="s">
        <v>33</v>
      </c>
      <c r="F37" s="152"/>
      <c r="G37" s="144"/>
      <c r="H37" s="66"/>
    </row>
    <row r="38" spans="1:8" x14ac:dyDescent="0.3">
      <c r="A38" s="147"/>
      <c r="B38" s="154"/>
      <c r="C38" s="156"/>
      <c r="D38" s="120">
        <f>ROUND(D37/1720,2)</f>
        <v>8.6199999999999992</v>
      </c>
      <c r="E38" s="119" t="s">
        <v>34</v>
      </c>
      <c r="F38" s="152"/>
      <c r="G38" s="144"/>
      <c r="H38" s="66"/>
    </row>
    <row r="39" spans="1:8" x14ac:dyDescent="0.3">
      <c r="A39" s="147"/>
      <c r="B39" s="154"/>
      <c r="C39" s="156"/>
      <c r="D39" s="120">
        <f>D38*8</f>
        <v>68.959999999999994</v>
      </c>
      <c r="E39" s="119" t="s">
        <v>44</v>
      </c>
      <c r="F39" s="152"/>
      <c r="G39" s="144"/>
      <c r="H39" s="66"/>
    </row>
    <row r="40" spans="1:8" x14ac:dyDescent="0.3">
      <c r="A40" s="148"/>
      <c r="B40" s="168"/>
      <c r="C40" s="169"/>
      <c r="D40" s="120">
        <f>ROUND(D39/16,2)</f>
        <v>4.3099999999999996</v>
      </c>
      <c r="E40" s="119" t="s">
        <v>45</v>
      </c>
      <c r="F40" s="170"/>
      <c r="G40" s="145"/>
      <c r="H40" s="66"/>
    </row>
    <row r="41" spans="1:8" ht="17.5" customHeight="1" x14ac:dyDescent="0.3">
      <c r="A41" s="146" t="s">
        <v>46</v>
      </c>
      <c r="B41" s="153">
        <v>0.2</v>
      </c>
      <c r="C41" s="155">
        <f>D48</f>
        <v>1.2</v>
      </c>
      <c r="D41" s="120">
        <v>1388</v>
      </c>
      <c r="E41" s="118" t="s">
        <v>20</v>
      </c>
      <c r="F41" s="151" t="s">
        <v>150</v>
      </c>
      <c r="G41" s="143" t="s">
        <v>47</v>
      </c>
      <c r="H41" s="66"/>
    </row>
    <row r="42" spans="1:8" ht="17.5" customHeight="1" x14ac:dyDescent="0.3">
      <c r="A42" s="147"/>
      <c r="B42" s="154"/>
      <c r="C42" s="156"/>
      <c r="D42" s="210">
        <f>ROUND(D41*23.59%,2)</f>
        <v>327.43</v>
      </c>
      <c r="E42" s="118" t="s">
        <v>24</v>
      </c>
      <c r="F42" s="152"/>
      <c r="G42" s="144"/>
      <c r="H42" s="66"/>
    </row>
    <row r="43" spans="1:8" ht="17.5" customHeight="1" x14ac:dyDescent="0.3">
      <c r="A43" s="147"/>
      <c r="B43" s="154"/>
      <c r="C43" s="156"/>
      <c r="D43" s="120">
        <f>SUM(D41:D42)</f>
        <v>1715.43</v>
      </c>
      <c r="E43" s="118" t="s">
        <v>25</v>
      </c>
      <c r="F43" s="152"/>
      <c r="G43" s="144"/>
      <c r="H43" s="66"/>
    </row>
    <row r="44" spans="1:8" ht="17.5" customHeight="1" x14ac:dyDescent="0.3">
      <c r="A44" s="147"/>
      <c r="B44" s="154"/>
      <c r="C44" s="156"/>
      <c r="D44" s="120">
        <f>ROUND(D43*B41,2)</f>
        <v>343.09</v>
      </c>
      <c r="E44" s="118" t="s">
        <v>48</v>
      </c>
      <c r="F44" s="152"/>
      <c r="G44" s="144"/>
      <c r="H44" s="66"/>
    </row>
    <row r="45" spans="1:8" ht="17.5" customHeight="1" x14ac:dyDescent="0.3">
      <c r="A45" s="147"/>
      <c r="B45" s="154"/>
      <c r="C45" s="156"/>
      <c r="D45" s="120">
        <f>D44*12</f>
        <v>4117.08</v>
      </c>
      <c r="E45" s="119" t="s">
        <v>33</v>
      </c>
      <c r="F45" s="152"/>
      <c r="G45" s="144"/>
      <c r="H45" s="66"/>
    </row>
    <row r="46" spans="1:8" ht="17.5" customHeight="1" x14ac:dyDescent="0.3">
      <c r="A46" s="147"/>
      <c r="B46" s="154"/>
      <c r="C46" s="156"/>
      <c r="D46" s="120">
        <f>ROUND(D45/1720,2)</f>
        <v>2.39</v>
      </c>
      <c r="E46" s="119" t="s">
        <v>34</v>
      </c>
      <c r="F46" s="152"/>
      <c r="G46" s="144"/>
      <c r="H46" s="66"/>
    </row>
    <row r="47" spans="1:8" ht="17.5" customHeight="1" x14ac:dyDescent="0.3">
      <c r="A47" s="147"/>
      <c r="B47" s="154"/>
      <c r="C47" s="156"/>
      <c r="D47" s="120">
        <f>D46*8</f>
        <v>19.12</v>
      </c>
      <c r="E47" s="119" t="s">
        <v>44</v>
      </c>
      <c r="F47" s="152"/>
      <c r="G47" s="144"/>
      <c r="H47" s="66"/>
    </row>
    <row r="48" spans="1:8" ht="17.5" customHeight="1" x14ac:dyDescent="0.3">
      <c r="A48" s="148"/>
      <c r="B48" s="168"/>
      <c r="C48" s="169"/>
      <c r="D48" s="120">
        <f>ROUND(D47/16,2)</f>
        <v>1.2</v>
      </c>
      <c r="E48" s="119" t="s">
        <v>45</v>
      </c>
      <c r="F48" s="170"/>
      <c r="G48" s="145"/>
      <c r="H48" s="66"/>
    </row>
    <row r="49" spans="1:7" ht="56" x14ac:dyDescent="0.3">
      <c r="A49" s="45" t="s">
        <v>49</v>
      </c>
      <c r="B49" s="45" t="s">
        <v>50</v>
      </c>
      <c r="C49" s="46">
        <f>SUM(C50:C59)</f>
        <v>4.0600000000000005</v>
      </c>
      <c r="D49" s="140"/>
      <c r="E49" s="141"/>
      <c r="F49" s="141"/>
      <c r="G49" s="142"/>
    </row>
    <row r="50" spans="1:7" ht="28" customHeight="1" x14ac:dyDescent="0.3">
      <c r="A50" s="11" t="str">
        <f>'3.2. pielikums'!A50</f>
        <v>Kancelejas preces un biroja preces</v>
      </c>
      <c r="B50" s="172">
        <v>0.34699999999999998</v>
      </c>
      <c r="C50" s="115">
        <f>ROUND('3.4. pielikums'!AJ10*(1+B50),2)</f>
        <v>0.12</v>
      </c>
      <c r="D50" s="126" t="s">
        <v>66</v>
      </c>
      <c r="E50" s="127"/>
      <c r="F50" s="128"/>
      <c r="G50" s="42"/>
    </row>
    <row r="51" spans="1:7" x14ac:dyDescent="0.3">
      <c r="A51" s="11" t="str">
        <f>'3.2. pielikums'!A51</f>
        <v>Saimniecības un higiēnas preces</v>
      </c>
      <c r="B51" s="173"/>
      <c r="C51" s="115">
        <f>ROUND('3.4. pielikums'!AJ8*(1+B50),2)</f>
        <v>0.22</v>
      </c>
      <c r="D51" s="129"/>
      <c r="E51" s="130"/>
      <c r="F51" s="131"/>
      <c r="G51" s="42"/>
    </row>
    <row r="52" spans="1:7" ht="28" x14ac:dyDescent="0.3">
      <c r="A52" s="11" t="str">
        <f>'3.2. pielikums'!A52</f>
        <v>Transports (degviela, īre, apkope, adrošināšana u.c.)</v>
      </c>
      <c r="B52" s="173"/>
      <c r="C52" s="115">
        <f>ROUND('3.4. pielikums'!AJ11*(1+B50),2)</f>
        <v>0.16</v>
      </c>
      <c r="D52" s="129"/>
      <c r="E52" s="130"/>
      <c r="F52" s="131"/>
      <c r="G52" s="42"/>
    </row>
    <row r="53" spans="1:7" ht="56" x14ac:dyDescent="0.3">
      <c r="A53" s="11" t="str">
        <f>'3.2. pielikums'!A53</f>
        <v>Telpas (īre, komunālie maksājumi, uzturēšanas pasākumi)</v>
      </c>
      <c r="B53" s="173"/>
      <c r="C53" s="115">
        <f>ROUND('3.4. pielikums'!AJ12*(1+B50),2)</f>
        <v>1.37</v>
      </c>
      <c r="D53" s="129"/>
      <c r="E53" s="130"/>
      <c r="F53" s="131"/>
      <c r="G53" s="49" t="s">
        <v>52</v>
      </c>
    </row>
    <row r="54" spans="1:7" ht="42" x14ac:dyDescent="0.3">
      <c r="A54" s="11" t="str">
        <f>'3.2. pielikums'!A54</f>
        <v>Saimnieciskie pamatlīdzekļi,  inventārs, inventāra remonts (materiāli un pakalpojums)</v>
      </c>
      <c r="B54" s="173"/>
      <c r="C54" s="115">
        <f>ROUND('3.4. pielikums'!AJ16*(1+B50),2)</f>
        <v>0.2</v>
      </c>
      <c r="D54" s="129"/>
      <c r="E54" s="130"/>
      <c r="F54" s="131"/>
      <c r="G54" s="42"/>
    </row>
    <row r="55" spans="1:7" ht="28" x14ac:dyDescent="0.3">
      <c r="A55" s="11" t="str">
        <f>'3.2. pielikums'!A55</f>
        <v>Sakaru pakalpojumi (telefons, internets, pasts)</v>
      </c>
      <c r="B55" s="173"/>
      <c r="C55" s="115">
        <f>ROUND('3.4. pielikums'!AJ6*(1+B50),2)</f>
        <v>0.36</v>
      </c>
      <c r="D55" s="129"/>
      <c r="E55" s="130"/>
      <c r="F55" s="131"/>
      <c r="G55" s="42"/>
    </row>
    <row r="56" spans="1:7" x14ac:dyDescent="0.3">
      <c r="A56" s="11" t="str">
        <f>'3.2. pielikums'!A56</f>
        <v>Darbinieku izglītības izdevumi</v>
      </c>
      <c r="B56" s="173"/>
      <c r="C56" s="115">
        <f>ROUND('3.4. pielikums'!AJ14*(1+B50),2)</f>
        <v>0.08</v>
      </c>
      <c r="D56" s="129"/>
      <c r="E56" s="130"/>
      <c r="F56" s="131"/>
      <c r="G56" s="42"/>
    </row>
    <row r="57" spans="1:7" ht="56" x14ac:dyDescent="0.3">
      <c r="A57" s="11" t="str">
        <f>'3.2. pielikums'!A57</f>
        <v>Ar admin.darbību saistītie izdevumi (darba aizsardz.sist.uzturēš.pak., bankas konta apkalp. u.c.)</v>
      </c>
      <c r="B57" s="173"/>
      <c r="C57" s="115">
        <f>ROUND('3.4. pielikums'!AJ15*(1+B50),2)</f>
        <v>0.35</v>
      </c>
      <c r="D57" s="132"/>
      <c r="E57" s="133"/>
      <c r="F57" s="134"/>
      <c r="G57" s="42"/>
    </row>
    <row r="58" spans="1:7" ht="42" x14ac:dyDescent="0.3">
      <c r="A58" s="48" t="s">
        <v>53</v>
      </c>
      <c r="B58" s="173"/>
      <c r="C58" s="115">
        <f>ROUND('3.5. pielikums'!F18*(1+B50),2)</f>
        <v>0.47</v>
      </c>
      <c r="D58" s="135" t="s">
        <v>67</v>
      </c>
      <c r="E58" s="136"/>
      <c r="F58" s="137"/>
      <c r="G58" s="42"/>
    </row>
    <row r="59" spans="1:7" ht="28.5" customHeight="1" x14ac:dyDescent="0.3">
      <c r="A59" s="48" t="str">
        <f>'3.2. pielikums'!A59</f>
        <v>Supervīzija</v>
      </c>
      <c r="B59" s="174"/>
      <c r="C59" s="116">
        <f>ROUND('3.6. pielikums'!G10*(1+B50),2)</f>
        <v>0.73</v>
      </c>
      <c r="D59" s="135" t="str">
        <f>'3.2. pielikums'!D59</f>
        <v>Aprēķinu skat. 3.6. pielikumā.
Obligātās supervīzijas prasības sociālo pakalpojumu sniedzējiem noteiktas Ministru kabineta 2017. gada 13. jūnija noteikumu Nr. 338 9.2. apakšpunktā un 186. punktā.</v>
      </c>
      <c r="E59" s="136"/>
      <c r="F59" s="137"/>
      <c r="G59" s="42"/>
    </row>
    <row r="60" spans="1:7" x14ac:dyDescent="0.3">
      <c r="A60" s="64" t="s">
        <v>57</v>
      </c>
      <c r="B60" s="44"/>
      <c r="C60" s="46">
        <f>C49+C4</f>
        <v>40.930000000000007</v>
      </c>
      <c r="D60"/>
      <c r="E60"/>
      <c r="F60" s="63"/>
      <c r="G60" s="63"/>
    </row>
    <row r="61" spans="1:7" x14ac:dyDescent="0.3">
      <c r="C61" s="66"/>
    </row>
    <row r="62" spans="1:7" x14ac:dyDescent="0.3">
      <c r="A62" s="2" t="s">
        <v>58</v>
      </c>
    </row>
    <row r="63" spans="1:7" x14ac:dyDescent="0.3">
      <c r="C63" s="67"/>
    </row>
  </sheetData>
  <mergeCells count="32">
    <mergeCell ref="A1:G1"/>
    <mergeCell ref="A2:G2"/>
    <mergeCell ref="B50:B59"/>
    <mergeCell ref="A5:A14"/>
    <mergeCell ref="B5:B14"/>
    <mergeCell ref="C5:C14"/>
    <mergeCell ref="F5:F14"/>
    <mergeCell ref="G5:G14"/>
    <mergeCell ref="A15:A23"/>
    <mergeCell ref="B15:B23"/>
    <mergeCell ref="C15:C23"/>
    <mergeCell ref="F15:F23"/>
    <mergeCell ref="G15:G23"/>
    <mergeCell ref="A24:A32"/>
    <mergeCell ref="B24:B32"/>
    <mergeCell ref="C24:C32"/>
    <mergeCell ref="F24:F32"/>
    <mergeCell ref="G24:G32"/>
    <mergeCell ref="A33:A40"/>
    <mergeCell ref="B33:B40"/>
    <mergeCell ref="C33:C40"/>
    <mergeCell ref="F33:F40"/>
    <mergeCell ref="G33:G40"/>
    <mergeCell ref="D49:G49"/>
    <mergeCell ref="D50:F57"/>
    <mergeCell ref="D58:F58"/>
    <mergeCell ref="D59:F59"/>
    <mergeCell ref="A41:A48"/>
    <mergeCell ref="B41:B48"/>
    <mergeCell ref="C41:C48"/>
    <mergeCell ref="F41:F48"/>
    <mergeCell ref="G41:G48"/>
  </mergeCells>
  <pageMargins left="0.70866141732283472" right="0.70866141732283472" top="0.74803149606299213" bottom="0.74803149606299213" header="0.31496062992125984" footer="0.31496062992125984"/>
  <pageSetup paperSize="9" scale="3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21"/>
  <sheetViews>
    <sheetView zoomScale="51" zoomScaleNormal="51" workbookViewId="0">
      <selection sqref="A1:AJ1"/>
    </sheetView>
  </sheetViews>
  <sheetFormatPr defaultColWidth="9.1796875" defaultRowHeight="14" x14ac:dyDescent="0.3"/>
  <cols>
    <col min="1" max="1" width="6.26953125" style="2" customWidth="1"/>
    <col min="2" max="2" width="25.7265625" style="2" customWidth="1"/>
    <col min="3" max="3" width="8.54296875" style="2" customWidth="1"/>
    <col min="4" max="4" width="8.26953125" style="2" customWidth="1"/>
    <col min="5" max="5" width="7.54296875" style="2" customWidth="1"/>
    <col min="6" max="6" width="8.7265625" style="2" customWidth="1"/>
    <col min="7" max="7" width="8.26953125" style="2" customWidth="1"/>
    <col min="8" max="8" width="8.7265625" style="2" customWidth="1"/>
    <col min="9" max="9" width="7" style="2" customWidth="1"/>
    <col min="10" max="10" width="8.1796875" style="2" customWidth="1"/>
    <col min="11" max="11" width="8" style="2" customWidth="1"/>
    <col min="12" max="12" width="8.81640625" style="2" customWidth="1"/>
    <col min="13" max="13" width="10.54296875" style="2" customWidth="1"/>
    <col min="14" max="22" width="7.26953125" style="2" customWidth="1"/>
    <col min="23" max="23" width="8.81640625" style="2" customWidth="1"/>
    <col min="24" max="24" width="10.54296875" style="2" customWidth="1"/>
    <col min="25" max="33" width="7.26953125" style="2" customWidth="1"/>
    <col min="34" max="34" width="8.81640625" style="2" customWidth="1"/>
    <col min="35" max="35" width="10.54296875" style="2" customWidth="1"/>
    <col min="36" max="36" width="15.81640625" style="2" customWidth="1"/>
    <col min="37" max="37" width="9.1796875" style="2"/>
    <col min="38" max="38" width="9.1796875" style="2" customWidth="1"/>
    <col min="39" max="16384" width="9.1796875" style="2"/>
  </cols>
  <sheetData>
    <row r="1" spans="1:38" x14ac:dyDescent="0.3">
      <c r="A1" s="125" t="s">
        <v>68</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row>
    <row r="2" spans="1:38" ht="14.5" thickBot="1" x14ac:dyDescent="0.35">
      <c r="A2" s="182" t="s">
        <v>69</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row>
    <row r="3" spans="1:38" x14ac:dyDescent="0.3">
      <c r="A3" s="3"/>
      <c r="B3" s="4"/>
      <c r="C3" s="183" t="s">
        <v>70</v>
      </c>
      <c r="D3" s="184"/>
      <c r="E3" s="184"/>
      <c r="F3" s="184"/>
      <c r="G3" s="184"/>
      <c r="H3" s="184"/>
      <c r="I3" s="184"/>
      <c r="J3" s="184"/>
      <c r="K3" s="184"/>
      <c r="L3" s="184"/>
      <c r="M3" s="187" t="s">
        <v>71</v>
      </c>
      <c r="N3" s="189" t="s">
        <v>72</v>
      </c>
      <c r="O3" s="184"/>
      <c r="P3" s="184"/>
      <c r="Q3" s="184"/>
      <c r="R3" s="184"/>
      <c r="S3" s="184"/>
      <c r="T3" s="184"/>
      <c r="U3" s="184"/>
      <c r="V3" s="184"/>
      <c r="W3" s="184"/>
      <c r="X3" s="187" t="s">
        <v>71</v>
      </c>
      <c r="Y3" s="179" t="s">
        <v>73</v>
      </c>
      <c r="Z3" s="180"/>
      <c r="AA3" s="180"/>
      <c r="AB3" s="180"/>
      <c r="AC3" s="180"/>
      <c r="AD3" s="180"/>
      <c r="AE3" s="180"/>
      <c r="AF3" s="180"/>
      <c r="AG3" s="180"/>
      <c r="AH3" s="181"/>
      <c r="AI3" s="176" t="s">
        <v>71</v>
      </c>
      <c r="AJ3" s="185" t="s">
        <v>74</v>
      </c>
    </row>
    <row r="4" spans="1:38" ht="28" x14ac:dyDescent="0.3">
      <c r="A4" s="5" t="s">
        <v>75</v>
      </c>
      <c r="B4" s="6" t="s">
        <v>76</v>
      </c>
      <c r="C4" s="6" t="s">
        <v>77</v>
      </c>
      <c r="D4" s="6" t="s">
        <v>78</v>
      </c>
      <c r="E4" s="6" t="s">
        <v>79</v>
      </c>
      <c r="F4" s="6" t="s">
        <v>80</v>
      </c>
      <c r="G4" s="6" t="s">
        <v>81</v>
      </c>
      <c r="H4" s="6" t="s">
        <v>82</v>
      </c>
      <c r="I4" s="6" t="s">
        <v>83</v>
      </c>
      <c r="J4" s="6" t="s">
        <v>84</v>
      </c>
      <c r="K4" s="7" t="s">
        <v>85</v>
      </c>
      <c r="L4" s="6" t="s">
        <v>86</v>
      </c>
      <c r="M4" s="188"/>
      <c r="N4" s="8" t="s">
        <v>77</v>
      </c>
      <c r="O4" s="6" t="s">
        <v>78</v>
      </c>
      <c r="P4" s="6" t="s">
        <v>79</v>
      </c>
      <c r="Q4" s="6" t="s">
        <v>80</v>
      </c>
      <c r="R4" s="6" t="s">
        <v>81</v>
      </c>
      <c r="S4" s="6" t="s">
        <v>82</v>
      </c>
      <c r="T4" s="6" t="s">
        <v>83</v>
      </c>
      <c r="U4" s="6" t="s">
        <v>84</v>
      </c>
      <c r="V4" s="7" t="s">
        <v>85</v>
      </c>
      <c r="W4" s="6" t="s">
        <v>86</v>
      </c>
      <c r="X4" s="188"/>
      <c r="Y4" s="8" t="s">
        <v>77</v>
      </c>
      <c r="Z4" s="6" t="s">
        <v>78</v>
      </c>
      <c r="AA4" s="6" t="s">
        <v>79</v>
      </c>
      <c r="AB4" s="6" t="s">
        <v>80</v>
      </c>
      <c r="AC4" s="6" t="s">
        <v>81</v>
      </c>
      <c r="AD4" s="6" t="s">
        <v>82</v>
      </c>
      <c r="AE4" s="6" t="s">
        <v>83</v>
      </c>
      <c r="AF4" s="6" t="s">
        <v>84</v>
      </c>
      <c r="AG4" s="7" t="s">
        <v>85</v>
      </c>
      <c r="AH4" s="9" t="s">
        <v>86</v>
      </c>
      <c r="AI4" s="177"/>
      <c r="AJ4" s="186"/>
    </row>
    <row r="5" spans="1:38" x14ac:dyDescent="0.3">
      <c r="A5" s="10">
        <v>1</v>
      </c>
      <c r="B5" s="11" t="s">
        <v>87</v>
      </c>
      <c r="C5" s="91">
        <v>8.98</v>
      </c>
      <c r="D5" s="91">
        <v>7.37</v>
      </c>
      <c r="E5" s="91">
        <v>9.9600000000000009</v>
      </c>
      <c r="F5" s="91">
        <v>6.86</v>
      </c>
      <c r="G5" s="92">
        <v>9.2200000000000006</v>
      </c>
      <c r="H5" s="91">
        <v>5.03</v>
      </c>
      <c r="I5" s="91">
        <v>4.2560000000000002</v>
      </c>
      <c r="J5" s="91">
        <v>9.5500000000000007</v>
      </c>
      <c r="K5" s="93">
        <v>8.202</v>
      </c>
      <c r="L5" s="91">
        <v>9.1199999999999992</v>
      </c>
      <c r="M5" s="94">
        <f t="shared" ref="M5:M16" si="0">ROUND(AVERAGE(C5:L5),2)</f>
        <v>7.85</v>
      </c>
      <c r="N5" s="95">
        <v>8.98</v>
      </c>
      <c r="O5" s="91">
        <v>7.37</v>
      </c>
      <c r="P5" s="91">
        <v>9.9600000000000009</v>
      </c>
      <c r="Q5" s="91">
        <v>6.86</v>
      </c>
      <c r="R5" s="92">
        <v>9.2200000000000006</v>
      </c>
      <c r="S5" s="91">
        <v>5.03</v>
      </c>
      <c r="T5" s="91">
        <v>5.0579999999999998</v>
      </c>
      <c r="U5" s="91">
        <v>11.16</v>
      </c>
      <c r="V5" s="93">
        <v>8.4090000000000007</v>
      </c>
      <c r="W5" s="91">
        <v>9.1199999999999992</v>
      </c>
      <c r="X5" s="94">
        <f>ROUND(AVERAGE(N5:W5),2)</f>
        <v>8.1199999999999992</v>
      </c>
      <c r="Y5" s="96">
        <v>8.98</v>
      </c>
      <c r="Z5" s="91">
        <v>7.37</v>
      </c>
      <c r="AA5" s="91">
        <v>9.9600000000000009</v>
      </c>
      <c r="AB5" s="91">
        <v>6.86</v>
      </c>
      <c r="AC5" s="91">
        <v>9.2200000000000006</v>
      </c>
      <c r="AD5" s="91">
        <v>5.03</v>
      </c>
      <c r="AE5" s="91">
        <v>7.28</v>
      </c>
      <c r="AF5" s="91">
        <v>10.11</v>
      </c>
      <c r="AG5" s="97">
        <v>9.2100000000000009</v>
      </c>
      <c r="AH5" s="98">
        <v>10.38</v>
      </c>
      <c r="AI5" s="94">
        <f>ROUND(AVERAGE(Y5:AH5),2)</f>
        <v>8.44</v>
      </c>
      <c r="AJ5" s="99">
        <f>ROUND((M5+X5+AI5)/3,2)</f>
        <v>8.14</v>
      </c>
      <c r="AL5" s="21"/>
    </row>
    <row r="6" spans="1:38" ht="28" x14ac:dyDescent="0.3">
      <c r="A6" s="10">
        <v>2</v>
      </c>
      <c r="B6" s="11" t="s">
        <v>88</v>
      </c>
      <c r="C6" s="12">
        <v>0.11</v>
      </c>
      <c r="D6" s="12">
        <v>0.05</v>
      </c>
      <c r="E6" s="12">
        <v>0.08</v>
      </c>
      <c r="F6" s="12">
        <v>0.14000000000000001</v>
      </c>
      <c r="G6" s="13">
        <v>0.09</v>
      </c>
      <c r="H6" s="12">
        <v>1.88</v>
      </c>
      <c r="I6" s="12">
        <v>0.1</v>
      </c>
      <c r="J6" s="12">
        <v>0.06</v>
      </c>
      <c r="K6" s="14">
        <v>6.5000000000000002E-2</v>
      </c>
      <c r="L6" s="12">
        <v>0.12</v>
      </c>
      <c r="M6" s="15">
        <f t="shared" si="0"/>
        <v>0.27</v>
      </c>
      <c r="N6" s="16">
        <v>0.11</v>
      </c>
      <c r="O6" s="12">
        <v>0.05</v>
      </c>
      <c r="P6" s="12">
        <v>0.08</v>
      </c>
      <c r="Q6" s="12">
        <v>0.14000000000000001</v>
      </c>
      <c r="R6" s="13">
        <v>0.09</v>
      </c>
      <c r="S6" s="12">
        <v>1.88</v>
      </c>
      <c r="T6" s="12">
        <v>0.111</v>
      </c>
      <c r="U6" s="12">
        <v>0.12</v>
      </c>
      <c r="V6" s="14">
        <v>0.108</v>
      </c>
      <c r="W6" s="12">
        <v>0.12</v>
      </c>
      <c r="X6" s="15">
        <f>ROUND(AVERAGE(N6:W6),2)</f>
        <v>0.28000000000000003</v>
      </c>
      <c r="Y6" s="17">
        <v>0.11</v>
      </c>
      <c r="Z6" s="12">
        <v>0.05</v>
      </c>
      <c r="AA6" s="12">
        <v>0.08</v>
      </c>
      <c r="AB6" s="12">
        <v>0.14000000000000001</v>
      </c>
      <c r="AC6" s="12">
        <v>0.09</v>
      </c>
      <c r="AD6" s="12">
        <v>1.88</v>
      </c>
      <c r="AE6" s="12">
        <v>0.12</v>
      </c>
      <c r="AF6" s="12">
        <v>0.05</v>
      </c>
      <c r="AG6" s="18">
        <v>0.11</v>
      </c>
      <c r="AH6" s="19">
        <v>7.0000000000000007E-2</v>
      </c>
      <c r="AI6" s="15">
        <f t="shared" ref="AI6:AI16" si="1">ROUND(AVERAGE(Y6:AH6),2)</f>
        <v>0.27</v>
      </c>
      <c r="AJ6" s="20">
        <f t="shared" ref="AJ6:AJ16" si="2">ROUND((M6+X6+AI6)/3,2)</f>
        <v>0.27</v>
      </c>
      <c r="AL6" s="21"/>
    </row>
    <row r="7" spans="1:38" x14ac:dyDescent="0.3">
      <c r="A7" s="10">
        <v>3</v>
      </c>
      <c r="B7" s="11" t="s">
        <v>89</v>
      </c>
      <c r="C7" s="100" t="s">
        <v>90</v>
      </c>
      <c r="D7" s="100" t="s">
        <v>90</v>
      </c>
      <c r="E7" s="100" t="s">
        <v>90</v>
      </c>
      <c r="F7" s="100" t="s">
        <v>90</v>
      </c>
      <c r="G7" s="101" t="s">
        <v>90</v>
      </c>
      <c r="H7" s="100" t="s">
        <v>90</v>
      </c>
      <c r="I7" s="91">
        <v>0.31</v>
      </c>
      <c r="J7" s="100" t="s">
        <v>90</v>
      </c>
      <c r="K7" s="93">
        <v>0.317</v>
      </c>
      <c r="L7" s="100" t="s">
        <v>90</v>
      </c>
      <c r="M7" s="94">
        <f t="shared" si="0"/>
        <v>0.31</v>
      </c>
      <c r="N7" s="102" t="s">
        <v>90</v>
      </c>
      <c r="O7" s="100" t="s">
        <v>90</v>
      </c>
      <c r="P7" s="100" t="s">
        <v>90</v>
      </c>
      <c r="Q7" s="100" t="s">
        <v>90</v>
      </c>
      <c r="R7" s="101" t="s">
        <v>90</v>
      </c>
      <c r="S7" s="100" t="s">
        <v>90</v>
      </c>
      <c r="T7" s="100" t="s">
        <v>90</v>
      </c>
      <c r="U7" s="100" t="s">
        <v>90</v>
      </c>
      <c r="V7" s="105" t="s">
        <v>90</v>
      </c>
      <c r="W7" s="100" t="s">
        <v>90</v>
      </c>
      <c r="X7" s="94">
        <v>0</v>
      </c>
      <c r="Y7" s="103" t="s">
        <v>90</v>
      </c>
      <c r="Z7" s="100" t="s">
        <v>90</v>
      </c>
      <c r="AA7" s="100" t="s">
        <v>90</v>
      </c>
      <c r="AB7" s="100" t="s">
        <v>90</v>
      </c>
      <c r="AC7" s="100" t="s">
        <v>90</v>
      </c>
      <c r="AD7" s="100" t="s">
        <v>90</v>
      </c>
      <c r="AE7" s="100" t="s">
        <v>90</v>
      </c>
      <c r="AF7" s="100" t="s">
        <v>90</v>
      </c>
      <c r="AG7" s="106" t="s">
        <v>90</v>
      </c>
      <c r="AH7" s="104" t="s">
        <v>90</v>
      </c>
      <c r="AI7" s="94">
        <v>0</v>
      </c>
      <c r="AJ7" s="99">
        <f t="shared" si="2"/>
        <v>0.1</v>
      </c>
      <c r="AL7" s="21"/>
    </row>
    <row r="8" spans="1:38" ht="28" x14ac:dyDescent="0.3">
      <c r="A8" s="10">
        <v>4</v>
      </c>
      <c r="B8" s="11" t="s">
        <v>91</v>
      </c>
      <c r="C8" s="12">
        <v>0.1</v>
      </c>
      <c r="D8" s="12">
        <v>0.12</v>
      </c>
      <c r="E8" s="12">
        <v>0.19</v>
      </c>
      <c r="F8" s="12">
        <v>0.11</v>
      </c>
      <c r="G8" s="13">
        <v>0.04</v>
      </c>
      <c r="H8" s="12">
        <v>7.0000000000000007E-2</v>
      </c>
      <c r="I8" s="12">
        <v>1.036</v>
      </c>
      <c r="J8" s="12">
        <v>0.04</v>
      </c>
      <c r="K8" s="14">
        <v>0.438</v>
      </c>
      <c r="L8" s="12">
        <v>0.08</v>
      </c>
      <c r="M8" s="15">
        <f t="shared" si="0"/>
        <v>0.22</v>
      </c>
      <c r="N8" s="16">
        <v>0.1</v>
      </c>
      <c r="O8" s="12">
        <v>0.12</v>
      </c>
      <c r="P8" s="12">
        <v>0.19</v>
      </c>
      <c r="Q8" s="12">
        <v>0.11</v>
      </c>
      <c r="R8" s="13">
        <v>0.04</v>
      </c>
      <c r="S8" s="12">
        <v>7.0000000000000007E-2</v>
      </c>
      <c r="T8" s="12">
        <v>0.02</v>
      </c>
      <c r="U8" s="12">
        <v>0.09</v>
      </c>
      <c r="V8" s="14">
        <v>0.503</v>
      </c>
      <c r="W8" s="12">
        <v>0.08</v>
      </c>
      <c r="X8" s="15">
        <f t="shared" ref="X8:X16" si="3">ROUND(AVERAGE(N8:W8),2)</f>
        <v>0.13</v>
      </c>
      <c r="Y8" s="17">
        <v>0.1</v>
      </c>
      <c r="Z8" s="12">
        <v>0.12</v>
      </c>
      <c r="AA8" s="12">
        <v>0.19</v>
      </c>
      <c r="AB8" s="12">
        <v>0.11</v>
      </c>
      <c r="AC8" s="12">
        <v>0.04</v>
      </c>
      <c r="AD8" s="12">
        <v>7.0000000000000007E-2</v>
      </c>
      <c r="AE8" s="12">
        <v>0.06</v>
      </c>
      <c r="AF8" s="12">
        <v>0.02</v>
      </c>
      <c r="AG8" s="18">
        <v>0.47</v>
      </c>
      <c r="AH8" s="19">
        <v>0.2</v>
      </c>
      <c r="AI8" s="15">
        <f t="shared" si="1"/>
        <v>0.14000000000000001</v>
      </c>
      <c r="AJ8" s="20">
        <f>ROUND((M8+X8+AI8)/3,2)</f>
        <v>0.16</v>
      </c>
      <c r="AL8" s="21"/>
    </row>
    <row r="9" spans="1:38" ht="28" x14ac:dyDescent="0.3">
      <c r="A9" s="10">
        <v>5</v>
      </c>
      <c r="B9" s="11" t="s">
        <v>92</v>
      </c>
      <c r="C9" s="100" t="s">
        <v>90</v>
      </c>
      <c r="D9" s="100" t="s">
        <v>90</v>
      </c>
      <c r="E9" s="100" t="s">
        <v>90</v>
      </c>
      <c r="F9" s="100" t="s">
        <v>90</v>
      </c>
      <c r="G9" s="101" t="s">
        <v>90</v>
      </c>
      <c r="H9" s="100" t="s">
        <v>90</v>
      </c>
      <c r="I9" s="91">
        <v>0.34</v>
      </c>
      <c r="J9" s="100" t="s">
        <v>90</v>
      </c>
      <c r="K9" s="93">
        <v>0.497</v>
      </c>
      <c r="L9" s="100" t="s">
        <v>90</v>
      </c>
      <c r="M9" s="94">
        <f t="shared" si="0"/>
        <v>0.42</v>
      </c>
      <c r="N9" s="102" t="s">
        <v>90</v>
      </c>
      <c r="O9" s="100" t="s">
        <v>90</v>
      </c>
      <c r="P9" s="100" t="s">
        <v>90</v>
      </c>
      <c r="Q9" s="100" t="s">
        <v>90</v>
      </c>
      <c r="R9" s="100" t="s">
        <v>90</v>
      </c>
      <c r="S9" s="100" t="s">
        <v>90</v>
      </c>
      <c r="T9" s="100" t="s">
        <v>90</v>
      </c>
      <c r="U9" s="100" t="s">
        <v>90</v>
      </c>
      <c r="V9" s="93">
        <v>0.43099999999999999</v>
      </c>
      <c r="W9" s="100" t="s">
        <v>90</v>
      </c>
      <c r="X9" s="94">
        <f t="shared" si="3"/>
        <v>0.43</v>
      </c>
      <c r="Y9" s="103" t="s">
        <v>90</v>
      </c>
      <c r="Z9" s="100" t="s">
        <v>90</v>
      </c>
      <c r="AA9" s="100" t="s">
        <v>90</v>
      </c>
      <c r="AB9" s="100" t="s">
        <v>90</v>
      </c>
      <c r="AC9" s="100" t="s">
        <v>90</v>
      </c>
      <c r="AD9" s="100" t="s">
        <v>90</v>
      </c>
      <c r="AE9" s="100" t="s">
        <v>90</v>
      </c>
      <c r="AF9" s="100" t="s">
        <v>90</v>
      </c>
      <c r="AG9" s="97">
        <v>0.43</v>
      </c>
      <c r="AH9" s="104" t="s">
        <v>90</v>
      </c>
      <c r="AI9" s="94">
        <f t="shared" si="1"/>
        <v>0.43</v>
      </c>
      <c r="AJ9" s="99">
        <f t="shared" si="2"/>
        <v>0.43</v>
      </c>
      <c r="AL9" s="21"/>
    </row>
    <row r="10" spans="1:38" ht="28" x14ac:dyDescent="0.3">
      <c r="A10" s="10">
        <v>6</v>
      </c>
      <c r="B10" s="11" t="s">
        <v>93</v>
      </c>
      <c r="C10" s="12">
        <v>0.1</v>
      </c>
      <c r="D10" s="12">
        <v>0.1</v>
      </c>
      <c r="E10" s="12">
        <v>0.18</v>
      </c>
      <c r="F10" s="12">
        <v>0.08</v>
      </c>
      <c r="G10" s="13">
        <v>0.02</v>
      </c>
      <c r="H10" s="12">
        <v>0.04</v>
      </c>
      <c r="I10" s="12">
        <v>7.4999999999999997E-2</v>
      </c>
      <c r="J10" s="12">
        <v>0.06</v>
      </c>
      <c r="K10" s="14">
        <v>0.16200000000000001</v>
      </c>
      <c r="L10" s="12">
        <v>0.04</v>
      </c>
      <c r="M10" s="15">
        <f t="shared" si="0"/>
        <v>0.09</v>
      </c>
      <c r="N10" s="16">
        <v>0.1</v>
      </c>
      <c r="O10" s="12">
        <v>0.1</v>
      </c>
      <c r="P10" s="12">
        <v>0.18</v>
      </c>
      <c r="Q10" s="12">
        <v>0.08</v>
      </c>
      <c r="R10" s="13">
        <v>0.02</v>
      </c>
      <c r="S10" s="12">
        <v>0.04</v>
      </c>
      <c r="T10" s="12">
        <v>8.9999999999999993E-3</v>
      </c>
      <c r="U10" s="12">
        <v>0.09</v>
      </c>
      <c r="V10" s="14">
        <v>0.25600000000000001</v>
      </c>
      <c r="W10" s="12">
        <v>0.04</v>
      </c>
      <c r="X10" s="15">
        <f t="shared" si="3"/>
        <v>0.09</v>
      </c>
      <c r="Y10" s="17">
        <v>0.1</v>
      </c>
      <c r="Z10" s="12">
        <v>0.1</v>
      </c>
      <c r="AA10" s="12">
        <v>0.18</v>
      </c>
      <c r="AB10" s="12">
        <v>0.08</v>
      </c>
      <c r="AC10" s="12">
        <v>0.02</v>
      </c>
      <c r="AD10" s="12">
        <v>0.04</v>
      </c>
      <c r="AE10" s="12">
        <v>0.01</v>
      </c>
      <c r="AF10" s="12">
        <v>0.01</v>
      </c>
      <c r="AG10" s="18">
        <v>0.25</v>
      </c>
      <c r="AH10" s="19">
        <v>0.05</v>
      </c>
      <c r="AI10" s="15">
        <f t="shared" si="1"/>
        <v>0.08</v>
      </c>
      <c r="AJ10" s="20">
        <f t="shared" si="2"/>
        <v>0.09</v>
      </c>
      <c r="AL10" s="21"/>
    </row>
    <row r="11" spans="1:38" ht="28" x14ac:dyDescent="0.3">
      <c r="A11" s="10">
        <v>7</v>
      </c>
      <c r="B11" s="11" t="s">
        <v>94</v>
      </c>
      <c r="C11" s="12">
        <v>0.1</v>
      </c>
      <c r="D11" s="12">
        <v>0.01</v>
      </c>
      <c r="E11" s="22" t="s">
        <v>90</v>
      </c>
      <c r="F11" s="12">
        <v>0.1</v>
      </c>
      <c r="G11" s="23" t="s">
        <v>90</v>
      </c>
      <c r="H11" s="12">
        <v>0.13</v>
      </c>
      <c r="I11" s="22" t="s">
        <v>90</v>
      </c>
      <c r="J11" s="22" t="s">
        <v>90</v>
      </c>
      <c r="K11" s="14">
        <v>0.313</v>
      </c>
      <c r="L11" s="12">
        <v>0.1</v>
      </c>
      <c r="M11" s="15">
        <f t="shared" si="0"/>
        <v>0.13</v>
      </c>
      <c r="N11" s="16">
        <v>0.1</v>
      </c>
      <c r="O11" s="12">
        <v>0.01</v>
      </c>
      <c r="P11" s="22" t="s">
        <v>90</v>
      </c>
      <c r="Q11" s="12">
        <v>0.1</v>
      </c>
      <c r="R11" s="23" t="s">
        <v>90</v>
      </c>
      <c r="S11" s="12">
        <v>0.13</v>
      </c>
      <c r="T11" s="22" t="s">
        <v>90</v>
      </c>
      <c r="U11" s="22" t="s">
        <v>90</v>
      </c>
      <c r="V11" s="14">
        <v>0.28299999999999997</v>
      </c>
      <c r="W11" s="12">
        <v>0.1</v>
      </c>
      <c r="X11" s="15">
        <f t="shared" si="3"/>
        <v>0.12</v>
      </c>
      <c r="Y11" s="17">
        <v>0.1</v>
      </c>
      <c r="Z11" s="12">
        <v>0.01</v>
      </c>
      <c r="AA11" s="22" t="s">
        <v>90</v>
      </c>
      <c r="AB11" s="12">
        <v>0.1</v>
      </c>
      <c r="AC11" s="22" t="s">
        <v>90</v>
      </c>
      <c r="AD11" s="12">
        <v>0.13</v>
      </c>
      <c r="AE11" s="22" t="s">
        <v>90</v>
      </c>
      <c r="AF11" s="22" t="s">
        <v>90</v>
      </c>
      <c r="AG11" s="18">
        <v>0.25</v>
      </c>
      <c r="AH11" s="24" t="s">
        <v>90</v>
      </c>
      <c r="AI11" s="15">
        <f t="shared" si="1"/>
        <v>0.12</v>
      </c>
      <c r="AJ11" s="20">
        <f t="shared" si="2"/>
        <v>0.12</v>
      </c>
      <c r="AL11" s="21"/>
    </row>
    <row r="12" spans="1:38" ht="42" x14ac:dyDescent="0.3">
      <c r="A12" s="10">
        <v>8</v>
      </c>
      <c r="B12" s="11" t="s">
        <v>95</v>
      </c>
      <c r="C12" s="12">
        <v>0.61</v>
      </c>
      <c r="D12" s="12">
        <v>0.28999999999999998</v>
      </c>
      <c r="E12" s="12">
        <v>1.29</v>
      </c>
      <c r="F12" s="12">
        <v>0.82</v>
      </c>
      <c r="G12" s="12">
        <v>0.85</v>
      </c>
      <c r="H12" s="12">
        <v>0.42</v>
      </c>
      <c r="I12" s="12">
        <v>2.17</v>
      </c>
      <c r="J12" s="12">
        <v>1.33</v>
      </c>
      <c r="K12" s="14">
        <v>2.0609999999999999</v>
      </c>
      <c r="L12" s="12">
        <v>0.65</v>
      </c>
      <c r="M12" s="15">
        <f t="shared" si="0"/>
        <v>1.05</v>
      </c>
      <c r="N12" s="16">
        <v>0.61</v>
      </c>
      <c r="O12" s="12">
        <v>0.28999999999999998</v>
      </c>
      <c r="P12" s="12">
        <v>1.29</v>
      </c>
      <c r="Q12" s="12">
        <v>0.82</v>
      </c>
      <c r="R12" s="12">
        <v>0.85</v>
      </c>
      <c r="S12" s="12">
        <v>0.42</v>
      </c>
      <c r="T12" s="12">
        <v>1.3819999999999999</v>
      </c>
      <c r="U12" s="12">
        <v>1.8</v>
      </c>
      <c r="V12" s="14">
        <v>2.2589999999999999</v>
      </c>
      <c r="W12" s="12">
        <v>0.65</v>
      </c>
      <c r="X12" s="15">
        <f t="shared" si="3"/>
        <v>1.04</v>
      </c>
      <c r="Y12" s="17">
        <v>0.61</v>
      </c>
      <c r="Z12" s="12">
        <v>0.28999999999999998</v>
      </c>
      <c r="AA12" s="12">
        <v>1.29</v>
      </c>
      <c r="AB12" s="12">
        <v>0.82</v>
      </c>
      <c r="AC12" s="12">
        <v>0.85</v>
      </c>
      <c r="AD12" s="12">
        <v>0.42</v>
      </c>
      <c r="AE12" s="12">
        <v>1.54</v>
      </c>
      <c r="AF12" s="12">
        <v>1.24</v>
      </c>
      <c r="AG12" s="18">
        <v>2.25</v>
      </c>
      <c r="AH12" s="19">
        <v>0.46</v>
      </c>
      <c r="AI12" s="15">
        <f t="shared" si="1"/>
        <v>0.98</v>
      </c>
      <c r="AJ12" s="20">
        <f t="shared" si="2"/>
        <v>1.02</v>
      </c>
      <c r="AL12" s="21"/>
    </row>
    <row r="13" spans="1:38" ht="28" x14ac:dyDescent="0.3">
      <c r="A13" s="10">
        <v>9</v>
      </c>
      <c r="B13" s="11" t="s">
        <v>96</v>
      </c>
      <c r="C13" s="12">
        <v>0.09</v>
      </c>
      <c r="D13" s="12">
        <v>0.05</v>
      </c>
      <c r="E13" s="12">
        <v>0.02</v>
      </c>
      <c r="F13" s="22" t="s">
        <v>90</v>
      </c>
      <c r="G13" s="13">
        <v>0.04</v>
      </c>
      <c r="H13" s="23" t="s">
        <v>90</v>
      </c>
      <c r="I13" s="25">
        <v>1.087</v>
      </c>
      <c r="J13" s="22" t="s">
        <v>90</v>
      </c>
      <c r="K13" s="26">
        <v>3.7999999999999999E-2</v>
      </c>
      <c r="L13" s="12">
        <v>0.02</v>
      </c>
      <c r="M13" s="15">
        <f t="shared" si="0"/>
        <v>0.19</v>
      </c>
      <c r="N13" s="16">
        <v>0.09</v>
      </c>
      <c r="O13" s="12">
        <v>0.05</v>
      </c>
      <c r="P13" s="12">
        <v>0.02</v>
      </c>
      <c r="Q13" s="22" t="s">
        <v>90</v>
      </c>
      <c r="R13" s="13">
        <v>0.04</v>
      </c>
      <c r="S13" s="23" t="s">
        <v>90</v>
      </c>
      <c r="T13" s="25">
        <v>1.27</v>
      </c>
      <c r="U13" s="22" t="s">
        <v>90</v>
      </c>
      <c r="V13" s="26">
        <v>5.8999999999999997E-2</v>
      </c>
      <c r="W13" s="12">
        <v>0.02</v>
      </c>
      <c r="X13" s="15">
        <f t="shared" si="3"/>
        <v>0.22</v>
      </c>
      <c r="Y13" s="17">
        <v>0.09</v>
      </c>
      <c r="Z13" s="12">
        <v>0.05</v>
      </c>
      <c r="AA13" s="12">
        <v>0.02</v>
      </c>
      <c r="AB13" s="22" t="s">
        <v>90</v>
      </c>
      <c r="AC13" s="12">
        <v>0.04</v>
      </c>
      <c r="AD13" s="22" t="s">
        <v>90</v>
      </c>
      <c r="AE13" s="12">
        <v>0.18</v>
      </c>
      <c r="AF13" s="12">
        <v>0.14000000000000001</v>
      </c>
      <c r="AG13" s="18">
        <v>0.06</v>
      </c>
      <c r="AH13" s="19">
        <v>7.0000000000000007E-2</v>
      </c>
      <c r="AI13" s="15">
        <f t="shared" si="1"/>
        <v>0.08</v>
      </c>
      <c r="AJ13" s="20">
        <f t="shared" si="2"/>
        <v>0.16</v>
      </c>
      <c r="AL13" s="21"/>
    </row>
    <row r="14" spans="1:38" ht="28" x14ac:dyDescent="0.3">
      <c r="A14" s="10">
        <v>10</v>
      </c>
      <c r="B14" s="11" t="s">
        <v>97</v>
      </c>
      <c r="C14" s="12">
        <v>0.08</v>
      </c>
      <c r="D14" s="12">
        <v>0.1</v>
      </c>
      <c r="E14" s="12">
        <v>0.02</v>
      </c>
      <c r="F14" s="12">
        <v>0.02</v>
      </c>
      <c r="G14" s="23" t="s">
        <v>90</v>
      </c>
      <c r="H14" s="12">
        <v>0.02</v>
      </c>
      <c r="I14" s="22" t="s">
        <v>90</v>
      </c>
      <c r="J14" s="25">
        <v>0.02</v>
      </c>
      <c r="K14" s="26">
        <v>9.8000000000000004E-2</v>
      </c>
      <c r="L14" s="12">
        <v>0.03</v>
      </c>
      <c r="M14" s="15">
        <f t="shared" si="0"/>
        <v>0.05</v>
      </c>
      <c r="N14" s="16">
        <v>0.08</v>
      </c>
      <c r="O14" s="12">
        <v>0.1</v>
      </c>
      <c r="P14" s="12">
        <v>0.02</v>
      </c>
      <c r="Q14" s="12">
        <v>0.02</v>
      </c>
      <c r="R14" s="23" t="s">
        <v>90</v>
      </c>
      <c r="S14" s="12">
        <v>0.02</v>
      </c>
      <c r="T14" s="23" t="s">
        <v>90</v>
      </c>
      <c r="U14" s="22" t="s">
        <v>90</v>
      </c>
      <c r="V14" s="14">
        <v>0.15</v>
      </c>
      <c r="W14" s="12">
        <v>0.03</v>
      </c>
      <c r="X14" s="15">
        <f t="shared" si="3"/>
        <v>0.06</v>
      </c>
      <c r="Y14" s="17">
        <v>0.08</v>
      </c>
      <c r="Z14" s="12">
        <v>0.1</v>
      </c>
      <c r="AA14" s="12">
        <v>0.02</v>
      </c>
      <c r="AB14" s="12">
        <v>0.02</v>
      </c>
      <c r="AC14" s="22" t="s">
        <v>90</v>
      </c>
      <c r="AD14" s="12">
        <v>0.02</v>
      </c>
      <c r="AE14" s="22" t="s">
        <v>90</v>
      </c>
      <c r="AF14" s="12">
        <v>0.04</v>
      </c>
      <c r="AG14" s="18">
        <v>0.15</v>
      </c>
      <c r="AH14" s="19">
        <v>0.04</v>
      </c>
      <c r="AI14" s="15">
        <f t="shared" si="1"/>
        <v>0.06</v>
      </c>
      <c r="AJ14" s="20">
        <f t="shared" si="2"/>
        <v>0.06</v>
      </c>
      <c r="AL14" s="21"/>
    </row>
    <row r="15" spans="1:38" ht="56" x14ac:dyDescent="0.3">
      <c r="A15" s="10">
        <v>11</v>
      </c>
      <c r="B15" s="11" t="s">
        <v>98</v>
      </c>
      <c r="C15" s="12">
        <v>7.0000000000000007E-2</v>
      </c>
      <c r="D15" s="12">
        <v>0.04</v>
      </c>
      <c r="E15" s="12">
        <v>0.16</v>
      </c>
      <c r="F15" s="12">
        <v>0.02</v>
      </c>
      <c r="G15" s="13">
        <v>0.06</v>
      </c>
      <c r="H15" s="12">
        <v>0.57999999999999996</v>
      </c>
      <c r="I15" s="22" t="s">
        <v>90</v>
      </c>
      <c r="J15" s="25">
        <v>0.44</v>
      </c>
      <c r="K15" s="26">
        <v>0.32400000000000001</v>
      </c>
      <c r="L15" s="12">
        <v>0.1</v>
      </c>
      <c r="M15" s="15">
        <f t="shared" si="0"/>
        <v>0.2</v>
      </c>
      <c r="N15" s="16">
        <v>7.0000000000000007E-2</v>
      </c>
      <c r="O15" s="12">
        <v>0.04</v>
      </c>
      <c r="P15" s="12">
        <v>0.16</v>
      </c>
      <c r="Q15" s="12">
        <v>0.02</v>
      </c>
      <c r="R15" s="13">
        <v>0.06</v>
      </c>
      <c r="S15" s="12">
        <v>0.57999999999999996</v>
      </c>
      <c r="T15" s="25">
        <v>3.0000000000000001E-3</v>
      </c>
      <c r="U15" s="25">
        <v>0.95</v>
      </c>
      <c r="V15" s="14">
        <v>1.1459999999999999</v>
      </c>
      <c r="W15" s="12">
        <v>0.1</v>
      </c>
      <c r="X15" s="15">
        <f t="shared" si="3"/>
        <v>0.31</v>
      </c>
      <c r="Y15" s="17">
        <v>7.0000000000000007E-2</v>
      </c>
      <c r="Z15" s="12">
        <v>0.04</v>
      </c>
      <c r="AA15" s="12">
        <v>0.16</v>
      </c>
      <c r="AB15" s="12">
        <v>0.02</v>
      </c>
      <c r="AC15" s="12">
        <v>0.06</v>
      </c>
      <c r="AD15" s="12">
        <v>0.57999999999999996</v>
      </c>
      <c r="AE15" s="12">
        <v>0.01</v>
      </c>
      <c r="AF15" s="12">
        <v>0.68</v>
      </c>
      <c r="AG15" s="18">
        <v>1.1299999999999999</v>
      </c>
      <c r="AH15" s="19">
        <v>0.05</v>
      </c>
      <c r="AI15" s="15">
        <f t="shared" si="1"/>
        <v>0.28000000000000003</v>
      </c>
      <c r="AJ15" s="20">
        <f>ROUND((M15+X15+AI15)/3,2)</f>
        <v>0.26</v>
      </c>
      <c r="AL15" s="21"/>
    </row>
    <row r="16" spans="1:38" ht="42" x14ac:dyDescent="0.3">
      <c r="A16" s="10">
        <v>12</v>
      </c>
      <c r="B16" s="11" t="s">
        <v>99</v>
      </c>
      <c r="C16" s="12">
        <v>0.1</v>
      </c>
      <c r="D16" s="12">
        <v>0.1</v>
      </c>
      <c r="E16" s="12">
        <v>0.1</v>
      </c>
      <c r="F16" s="12">
        <v>7.0000000000000007E-2</v>
      </c>
      <c r="G16" s="13">
        <v>0.02</v>
      </c>
      <c r="H16" s="12">
        <v>0.05</v>
      </c>
      <c r="I16" s="25">
        <v>0.40100000000000002</v>
      </c>
      <c r="J16" s="25">
        <v>1.7999999999999999E-2</v>
      </c>
      <c r="K16" s="26">
        <v>1.0169999999999999</v>
      </c>
      <c r="L16" s="12">
        <v>7.0000000000000007E-2</v>
      </c>
      <c r="M16" s="15">
        <f t="shared" si="0"/>
        <v>0.19</v>
      </c>
      <c r="N16" s="16">
        <v>0.1</v>
      </c>
      <c r="O16" s="12">
        <v>0.1</v>
      </c>
      <c r="P16" s="12">
        <v>0.1</v>
      </c>
      <c r="Q16" s="12">
        <v>7.0000000000000007E-2</v>
      </c>
      <c r="R16" s="13">
        <v>0.02</v>
      </c>
      <c r="S16" s="12">
        <v>0.05</v>
      </c>
      <c r="T16" s="23" t="s">
        <v>90</v>
      </c>
      <c r="U16" s="25">
        <v>0.05</v>
      </c>
      <c r="V16" s="14">
        <v>0.623</v>
      </c>
      <c r="W16" s="12">
        <v>7.0000000000000007E-2</v>
      </c>
      <c r="X16" s="15">
        <f t="shared" si="3"/>
        <v>0.13</v>
      </c>
      <c r="Y16" s="17">
        <v>0.1</v>
      </c>
      <c r="Z16" s="12">
        <v>0.1</v>
      </c>
      <c r="AA16" s="12">
        <v>0.1</v>
      </c>
      <c r="AB16" s="12">
        <v>7.0000000000000007E-2</v>
      </c>
      <c r="AC16" s="12">
        <v>0.02</v>
      </c>
      <c r="AD16" s="12">
        <v>0.05</v>
      </c>
      <c r="AE16" s="12">
        <v>7.0000000000000007E-2</v>
      </c>
      <c r="AF16" s="12">
        <v>0.06</v>
      </c>
      <c r="AG16" s="18">
        <v>0.6</v>
      </c>
      <c r="AH16" s="19">
        <v>0.04</v>
      </c>
      <c r="AI16" s="15">
        <f t="shared" si="1"/>
        <v>0.12</v>
      </c>
      <c r="AJ16" s="20">
        <f t="shared" si="2"/>
        <v>0.15</v>
      </c>
      <c r="AL16" s="21"/>
    </row>
    <row r="17" spans="1:36" x14ac:dyDescent="0.3">
      <c r="AJ17" s="27"/>
    </row>
    <row r="18" spans="1:36" s="28" customFormat="1" ht="20.25" customHeight="1" x14ac:dyDescent="0.3">
      <c r="A18" s="175" t="s">
        <v>100</v>
      </c>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row>
    <row r="19" spans="1:36" s="28" customFormat="1" ht="21" customHeight="1" x14ac:dyDescent="0.3">
      <c r="A19" s="30" t="s">
        <v>101</v>
      </c>
      <c r="B19" s="30"/>
      <c r="C19" s="30"/>
      <c r="D19" s="30"/>
      <c r="E19" s="30"/>
      <c r="F19" s="30"/>
      <c r="G19" s="30"/>
      <c r="H19" s="30"/>
      <c r="I19" s="30"/>
      <c r="J19" s="30"/>
      <c r="K19" s="30"/>
      <c r="L19" s="30"/>
      <c r="M19" s="30"/>
      <c r="N19" s="30"/>
      <c r="O19" s="30"/>
      <c r="P19" s="30"/>
      <c r="Q19" s="30"/>
      <c r="R19" s="30"/>
      <c r="S19" s="30"/>
      <c r="T19" s="30"/>
      <c r="U19" s="30"/>
      <c r="V19" s="30"/>
      <c r="W19" s="30"/>
      <c r="X19" s="30"/>
      <c r="Y19" s="29"/>
      <c r="Z19" s="29"/>
      <c r="AA19" s="29"/>
      <c r="AB19" s="29"/>
      <c r="AC19" s="29"/>
      <c r="AD19" s="29"/>
      <c r="AE19" s="29"/>
      <c r="AF19" s="29"/>
      <c r="AG19" s="29"/>
      <c r="AH19" s="29"/>
      <c r="AI19" s="30"/>
      <c r="AJ19" s="31"/>
    </row>
    <row r="20" spans="1:36" s="28" customFormat="1" x14ac:dyDescent="0.3">
      <c r="A20" s="178" t="s">
        <v>102</v>
      </c>
      <c r="B20" s="178"/>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row>
    <row r="21" spans="1:36" s="28" customFormat="1" ht="69" customHeight="1" x14ac:dyDescent="0.3">
      <c r="A21" s="130" t="s">
        <v>103</v>
      </c>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row>
  </sheetData>
  <mergeCells count="12">
    <mergeCell ref="A1:AJ1"/>
    <mergeCell ref="A18:AJ18"/>
    <mergeCell ref="AI3:AI4"/>
    <mergeCell ref="A21:AJ21"/>
    <mergeCell ref="A20:AJ20"/>
    <mergeCell ref="Y3:AH3"/>
    <mergeCell ref="A2:AJ2"/>
    <mergeCell ref="C3:L3"/>
    <mergeCell ref="AJ3:AJ4"/>
    <mergeCell ref="M3:M4"/>
    <mergeCell ref="N3:W3"/>
    <mergeCell ref="X3:X4"/>
  </mergeCells>
  <pageMargins left="0.70866141732283472" right="0.70866141732283472" top="0.74803149606299213" bottom="0.74803149606299213" header="0.31496062992125984" footer="0.31496062992125984"/>
  <pageSetup paperSize="9" scale="4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0"/>
  <sheetViews>
    <sheetView zoomScale="70" zoomScaleNormal="70" workbookViewId="0">
      <selection sqref="A1:F1"/>
    </sheetView>
  </sheetViews>
  <sheetFormatPr defaultColWidth="9.1796875" defaultRowHeight="14" x14ac:dyDescent="0.3"/>
  <cols>
    <col min="1" max="1" width="27" style="2" customWidth="1"/>
    <col min="2" max="2" width="14.453125" style="2" customWidth="1"/>
    <col min="3" max="3" width="12.26953125" style="2" customWidth="1"/>
    <col min="4" max="4" width="14.81640625" style="2" customWidth="1"/>
    <col min="5" max="5" width="15" style="2" customWidth="1"/>
    <col min="6" max="6" width="16.26953125" style="2" customWidth="1"/>
    <col min="7" max="16384" width="9.1796875" style="2"/>
  </cols>
  <sheetData>
    <row r="1" spans="1:6" x14ac:dyDescent="0.3">
      <c r="A1" s="125" t="s">
        <v>104</v>
      </c>
      <c r="B1" s="125"/>
      <c r="C1" s="125"/>
      <c r="D1" s="125"/>
      <c r="E1" s="125"/>
      <c r="F1" s="125"/>
    </row>
    <row r="2" spans="1:6" ht="27.75" customHeight="1" x14ac:dyDescent="0.3">
      <c r="A2" s="190" t="s">
        <v>105</v>
      </c>
      <c r="B2" s="190"/>
      <c r="C2" s="190"/>
      <c r="D2" s="190"/>
      <c r="E2" s="190"/>
      <c r="F2" s="190"/>
    </row>
    <row r="3" spans="1:6" ht="70" x14ac:dyDescent="0.3">
      <c r="A3" s="68" t="s">
        <v>106</v>
      </c>
      <c r="B3" s="69" t="s">
        <v>107</v>
      </c>
      <c r="C3" s="69" t="s">
        <v>108</v>
      </c>
      <c r="D3" s="69" t="s">
        <v>109</v>
      </c>
      <c r="E3" s="70" t="s">
        <v>110</v>
      </c>
      <c r="F3" s="70" t="s">
        <v>111</v>
      </c>
    </row>
    <row r="4" spans="1:6" ht="27" customHeight="1" x14ac:dyDescent="0.3">
      <c r="A4" s="50">
        <v>1</v>
      </c>
      <c r="B4" s="50">
        <v>2</v>
      </c>
      <c r="C4" s="50">
        <v>3</v>
      </c>
      <c r="D4" s="51" t="s">
        <v>112</v>
      </c>
      <c r="E4" s="50" t="s">
        <v>113</v>
      </c>
      <c r="F4" s="51" t="s">
        <v>114</v>
      </c>
    </row>
    <row r="5" spans="1:6" x14ac:dyDescent="0.3">
      <c r="A5" s="191" t="s">
        <v>115</v>
      </c>
      <c r="B5" s="192"/>
      <c r="C5" s="192"/>
      <c r="D5" s="192"/>
      <c r="E5" s="192"/>
      <c r="F5" s="193"/>
    </row>
    <row r="6" spans="1:6" x14ac:dyDescent="0.3">
      <c r="A6" s="59" t="s">
        <v>116</v>
      </c>
      <c r="B6" s="71">
        <v>16</v>
      </c>
      <c r="C6" s="72">
        <f>'3.2. pielikums'!B24</f>
        <v>0.5</v>
      </c>
      <c r="D6" s="13">
        <f>ROUND(C6*213.43,2)</f>
        <v>106.72</v>
      </c>
      <c r="E6" s="73">
        <f>ROUND(D6/B6,2)</f>
        <v>6.67</v>
      </c>
      <c r="F6" s="73">
        <f>ROUND(E6/365,2)</f>
        <v>0.02</v>
      </c>
    </row>
    <row r="7" spans="1:6" x14ac:dyDescent="0.3">
      <c r="A7" s="59" t="s">
        <v>117</v>
      </c>
      <c r="B7" s="71">
        <v>16</v>
      </c>
      <c r="C7" s="122">
        <f>'3.2. pielikums'!B5</f>
        <v>3.56</v>
      </c>
      <c r="D7" s="13">
        <f>ROUND(C7*213.43,2)</f>
        <v>759.81</v>
      </c>
      <c r="E7" s="73">
        <f>ROUND(D7/B7,2)</f>
        <v>47.49</v>
      </c>
      <c r="F7" s="73">
        <f>ROUND(E7/365,2)</f>
        <v>0.13</v>
      </c>
    </row>
    <row r="8" spans="1:6" ht="28" x14ac:dyDescent="0.3">
      <c r="A8" s="59" t="s">
        <v>118</v>
      </c>
      <c r="B8" s="71">
        <v>16</v>
      </c>
      <c r="C8" s="73">
        <f>'3.2. pielikums'!B15</f>
        <v>0.75</v>
      </c>
      <c r="D8" s="13">
        <f>ROUND(C8*213.43,2)</f>
        <v>160.07</v>
      </c>
      <c r="E8" s="73">
        <f>ROUND(D8/B8,2)</f>
        <v>10</v>
      </c>
      <c r="F8" s="73">
        <f>ROUND(E8/365,2)</f>
        <v>0.03</v>
      </c>
    </row>
    <row r="9" spans="1:6" x14ac:dyDescent="0.3">
      <c r="A9" s="55" t="s">
        <v>41</v>
      </c>
      <c r="B9" s="71">
        <v>16</v>
      </c>
      <c r="C9" s="74">
        <f>'3.2. pielikums'!B33</f>
        <v>0.5</v>
      </c>
      <c r="D9" s="13">
        <f>ROUND(C9*213.43,2)</f>
        <v>106.72</v>
      </c>
      <c r="E9" s="73">
        <f>ROUND(D9/B9,2)</f>
        <v>6.67</v>
      </c>
      <c r="F9" s="73">
        <f>ROUND(E9/365,2)</f>
        <v>0.02</v>
      </c>
    </row>
    <row r="10" spans="1:6" x14ac:dyDescent="0.3">
      <c r="A10" s="55" t="s">
        <v>119</v>
      </c>
      <c r="B10" s="71">
        <v>16</v>
      </c>
      <c r="C10" s="74">
        <f>'3.2. pielikums'!B41</f>
        <v>0.2</v>
      </c>
      <c r="D10" s="13">
        <f>ROUND(C10*213.43,2)</f>
        <v>42.69</v>
      </c>
      <c r="E10" s="73">
        <f>ROUND(D10/B10,2)</f>
        <v>2.67</v>
      </c>
      <c r="F10" s="73">
        <f>ROUND(E10/365,2)</f>
        <v>0.01</v>
      </c>
    </row>
    <row r="11" spans="1:6" x14ac:dyDescent="0.3">
      <c r="A11" s="56" t="s">
        <v>57</v>
      </c>
      <c r="B11" s="75">
        <f>B10</f>
        <v>16</v>
      </c>
      <c r="C11" s="76">
        <f>ROUND(SUM(C6:C10),2)</f>
        <v>5.51</v>
      </c>
      <c r="D11" s="76">
        <f>ROUND(SUM(D6:D10),2)</f>
        <v>1176.01</v>
      </c>
      <c r="E11" s="76">
        <f>ROUND(SUM(E6:E10),2)</f>
        <v>73.5</v>
      </c>
      <c r="F11" s="76">
        <f>ROUND(SUM(F6:F10),2)</f>
        <v>0.21</v>
      </c>
    </row>
    <row r="12" spans="1:6" ht="15.75" customHeight="1" x14ac:dyDescent="0.3">
      <c r="A12" s="191" t="s">
        <v>120</v>
      </c>
      <c r="B12" s="192"/>
      <c r="C12" s="192"/>
      <c r="D12" s="192"/>
      <c r="E12" s="192"/>
      <c r="F12" s="193"/>
    </row>
    <row r="13" spans="1:6" x14ac:dyDescent="0.3">
      <c r="A13" s="59" t="s">
        <v>116</v>
      </c>
      <c r="B13" s="52">
        <v>16</v>
      </c>
      <c r="C13" s="78">
        <f>'3.3. pielikums'!B24</f>
        <v>0.5</v>
      </c>
      <c r="D13" s="53">
        <f>ROUND(C13*213.43,2)</f>
        <v>106.72</v>
      </c>
      <c r="E13" s="54">
        <f>ROUND(D13/B13,2)</f>
        <v>6.67</v>
      </c>
      <c r="F13" s="54">
        <f>ROUND(E13/365,2)</f>
        <v>0.02</v>
      </c>
    </row>
    <row r="14" spans="1:6" x14ac:dyDescent="0.3">
      <c r="A14" s="59" t="s">
        <v>117</v>
      </c>
      <c r="B14" s="52">
        <v>16</v>
      </c>
      <c r="C14" s="122">
        <f>'3.3. pielikums'!B5</f>
        <v>7.37</v>
      </c>
      <c r="D14" s="53">
        <f>ROUND(C14*213.43,2)</f>
        <v>1572.98</v>
      </c>
      <c r="E14" s="54">
        <f>ROUND(D14/B14,2)</f>
        <v>98.31</v>
      </c>
      <c r="F14" s="54">
        <f>ROUND(E14/365,2)</f>
        <v>0.27</v>
      </c>
    </row>
    <row r="15" spans="1:6" ht="28" x14ac:dyDescent="0.3">
      <c r="A15" s="59" t="s">
        <v>118</v>
      </c>
      <c r="B15" s="71">
        <v>16</v>
      </c>
      <c r="C15" s="73">
        <f>'3.3. pielikums'!B15</f>
        <v>0.75</v>
      </c>
      <c r="D15" s="13">
        <f>ROUND(C15*213.43,2)</f>
        <v>160.07</v>
      </c>
      <c r="E15" s="73">
        <f>ROUND(D15/B15,2)</f>
        <v>10</v>
      </c>
      <c r="F15" s="73">
        <f>ROUND(E15/365,2)</f>
        <v>0.03</v>
      </c>
    </row>
    <row r="16" spans="1:6" x14ac:dyDescent="0.3">
      <c r="A16" s="55" t="s">
        <v>41</v>
      </c>
      <c r="B16" s="52">
        <v>16</v>
      </c>
      <c r="C16" s="79">
        <f>'3.3. pielikums'!B33</f>
        <v>0.5</v>
      </c>
      <c r="D16" s="53">
        <f>ROUND(C16*213.43,2)</f>
        <v>106.72</v>
      </c>
      <c r="E16" s="54">
        <f>ROUND(D16/B16,2)</f>
        <v>6.67</v>
      </c>
      <c r="F16" s="54">
        <f>ROUND(E16/365,2)</f>
        <v>0.02</v>
      </c>
    </row>
    <row r="17" spans="1:6" x14ac:dyDescent="0.3">
      <c r="A17" s="55" t="s">
        <v>119</v>
      </c>
      <c r="B17" s="52">
        <v>16</v>
      </c>
      <c r="C17" s="79">
        <f>'3.3. pielikums'!B41</f>
        <v>0.2</v>
      </c>
      <c r="D17" s="53">
        <f>ROUND(C17*213.43,2)</f>
        <v>42.69</v>
      </c>
      <c r="E17" s="54">
        <f>ROUND(D17/B17,2)</f>
        <v>2.67</v>
      </c>
      <c r="F17" s="54">
        <f>ROUND(E17/365,2)</f>
        <v>0.01</v>
      </c>
    </row>
    <row r="18" spans="1:6" x14ac:dyDescent="0.3">
      <c r="A18" s="56" t="s">
        <v>57</v>
      </c>
      <c r="B18" s="57">
        <f>AVERAGE(B13:B17)</f>
        <v>16</v>
      </c>
      <c r="C18" s="77">
        <f>ROUND(SUM(C13:C17),2)</f>
        <v>9.32</v>
      </c>
      <c r="D18" s="77">
        <f>ROUND(SUM(D13:D17),2)</f>
        <v>1989.18</v>
      </c>
      <c r="E18" s="77">
        <f>ROUND(SUM(E13:E17),2)</f>
        <v>124.32</v>
      </c>
      <c r="F18" s="77">
        <f>ROUND(SUM(F13:F17),2)</f>
        <v>0.35</v>
      </c>
    </row>
    <row r="19" spans="1:6" x14ac:dyDescent="0.3">
      <c r="A19" s="80"/>
      <c r="B19" s="81"/>
      <c r="C19" s="82"/>
      <c r="D19" s="83"/>
      <c r="E19" s="83"/>
      <c r="F19" s="83"/>
    </row>
    <row r="20" spans="1:6" ht="158.15" customHeight="1" x14ac:dyDescent="0.3">
      <c r="A20" s="178" t="s">
        <v>121</v>
      </c>
      <c r="B20" s="178"/>
      <c r="C20" s="178"/>
      <c r="D20" s="178"/>
      <c r="E20" s="178"/>
      <c r="F20" s="178"/>
    </row>
  </sheetData>
  <mergeCells count="5">
    <mergeCell ref="A20:F20"/>
    <mergeCell ref="A2:F2"/>
    <mergeCell ref="A1:F1"/>
    <mergeCell ref="A5:F5"/>
    <mergeCell ref="A12:F12"/>
  </mergeCells>
  <pageMargins left="0.70866141732283472" right="0.70866141732283472" top="0.74803149606299213" bottom="0.74803149606299213"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0"/>
  <sheetViews>
    <sheetView zoomScale="80" zoomScaleNormal="80" workbookViewId="0">
      <selection sqref="A1:G1"/>
    </sheetView>
  </sheetViews>
  <sheetFormatPr defaultColWidth="9.1796875" defaultRowHeight="12.5" x14ac:dyDescent="0.25"/>
  <cols>
    <col min="1" max="1" width="32.7265625" style="32" customWidth="1"/>
    <col min="2" max="2" width="18.7265625" style="32" customWidth="1"/>
    <col min="3" max="3" width="10.7265625" style="32" customWidth="1"/>
    <col min="4" max="4" width="19.7265625" style="32" customWidth="1"/>
    <col min="5" max="5" width="21.7265625" style="32" customWidth="1"/>
    <col min="6" max="6" width="10" style="32" customWidth="1"/>
    <col min="7" max="7" width="22.7265625" style="32" customWidth="1"/>
    <col min="8" max="16384" width="9.1796875" style="32"/>
  </cols>
  <sheetData>
    <row r="1" spans="1:10" ht="14" x14ac:dyDescent="0.3">
      <c r="A1" s="157" t="s">
        <v>122</v>
      </c>
      <c r="B1" s="157"/>
      <c r="C1" s="157"/>
      <c r="D1" s="157"/>
      <c r="E1" s="157"/>
      <c r="F1" s="157"/>
      <c r="G1" s="157"/>
    </row>
    <row r="2" spans="1:10" ht="17.149999999999999" customHeight="1" x14ac:dyDescent="0.25">
      <c r="A2" s="158" t="s">
        <v>123</v>
      </c>
      <c r="B2" s="158"/>
      <c r="C2" s="158"/>
      <c r="D2" s="158"/>
      <c r="E2" s="158"/>
      <c r="F2" s="158"/>
      <c r="G2" s="158"/>
    </row>
    <row r="3" spans="1:10" ht="60" customHeight="1" x14ac:dyDescent="0.25">
      <c r="A3" s="33" t="s">
        <v>124</v>
      </c>
      <c r="B3" s="33" t="s">
        <v>125</v>
      </c>
      <c r="C3" s="33" t="s">
        <v>126</v>
      </c>
      <c r="D3" s="33" t="s">
        <v>127</v>
      </c>
      <c r="E3" s="33" t="s">
        <v>128</v>
      </c>
      <c r="F3" s="33" t="s">
        <v>129</v>
      </c>
      <c r="G3" s="33" t="s">
        <v>130</v>
      </c>
    </row>
    <row r="4" spans="1:10" ht="12.75" customHeight="1" x14ac:dyDescent="0.3">
      <c r="A4" s="69">
        <v>1</v>
      </c>
      <c r="B4" s="69">
        <v>2</v>
      </c>
      <c r="C4" s="84">
        <v>3</v>
      </c>
      <c r="D4" s="69" t="s">
        <v>131</v>
      </c>
      <c r="E4" s="85" t="s">
        <v>132</v>
      </c>
      <c r="F4" s="85">
        <v>6</v>
      </c>
      <c r="G4" s="69" t="s">
        <v>133</v>
      </c>
    </row>
    <row r="5" spans="1:10" ht="12.75" customHeight="1" x14ac:dyDescent="0.25">
      <c r="A5" s="198" t="s">
        <v>134</v>
      </c>
      <c r="B5" s="199"/>
      <c r="C5" s="199"/>
      <c r="D5" s="199"/>
      <c r="E5" s="199"/>
      <c r="F5" s="199"/>
      <c r="G5" s="200"/>
    </row>
    <row r="6" spans="1:10" ht="14" x14ac:dyDescent="0.3">
      <c r="A6" s="34" t="s">
        <v>135</v>
      </c>
      <c r="B6" s="35">
        <v>176.75</v>
      </c>
      <c r="C6" s="194">
        <v>1720</v>
      </c>
      <c r="D6" s="12">
        <f>ROUND(B6/C6,2)</f>
        <v>0.1</v>
      </c>
      <c r="E6" s="201">
        <f>ROUND(AVERAGE(D6:D7),2)</f>
        <v>0.1</v>
      </c>
      <c r="F6" s="203">
        <v>3</v>
      </c>
      <c r="G6" s="195">
        <f>ROUND(E6*F6+E8*F8,2)</f>
        <v>0.42</v>
      </c>
    </row>
    <row r="7" spans="1:10" ht="14" x14ac:dyDescent="0.3">
      <c r="A7" s="34" t="s">
        <v>136</v>
      </c>
      <c r="B7" s="35">
        <v>176.75</v>
      </c>
      <c r="C7" s="194"/>
      <c r="D7" s="12">
        <f>ROUND(B7/C6,2)</f>
        <v>0.1</v>
      </c>
      <c r="E7" s="202"/>
      <c r="F7" s="203"/>
      <c r="G7" s="196"/>
    </row>
    <row r="8" spans="1:10" ht="14" x14ac:dyDescent="0.3">
      <c r="A8" s="34" t="s">
        <v>137</v>
      </c>
      <c r="B8" s="35">
        <v>75.75</v>
      </c>
      <c r="C8" s="194"/>
      <c r="D8" s="12">
        <f>ROUND(B8/C6,2)</f>
        <v>0.04</v>
      </c>
      <c r="E8" s="60">
        <f>D8</f>
        <v>0.04</v>
      </c>
      <c r="F8" s="35">
        <v>3</v>
      </c>
      <c r="G8" s="197"/>
    </row>
    <row r="9" spans="1:10" ht="15" customHeight="1" x14ac:dyDescent="0.25">
      <c r="A9" s="198" t="s">
        <v>138</v>
      </c>
      <c r="B9" s="199"/>
      <c r="C9" s="199"/>
      <c r="D9" s="199"/>
      <c r="E9" s="199"/>
      <c r="F9" s="199"/>
      <c r="G9" s="200"/>
    </row>
    <row r="10" spans="1:10" ht="14" x14ac:dyDescent="0.3">
      <c r="A10" s="34" t="s">
        <v>135</v>
      </c>
      <c r="B10" s="35">
        <v>176.75</v>
      </c>
      <c r="C10" s="194">
        <v>1720</v>
      </c>
      <c r="D10" s="12">
        <f>ROUND(B10/C10,2)</f>
        <v>0.1</v>
      </c>
      <c r="E10" s="204">
        <f>ROUND(AVERAGE(D10:D11),2)</f>
        <v>0.1</v>
      </c>
      <c r="F10" s="203">
        <v>3</v>
      </c>
      <c r="G10" s="195">
        <f>ROUND(E10*F10+E12*F12,2)</f>
        <v>0.54</v>
      </c>
    </row>
    <row r="11" spans="1:10" ht="14" x14ac:dyDescent="0.3">
      <c r="A11" s="34" t="s">
        <v>136</v>
      </c>
      <c r="B11" s="35">
        <v>176.75</v>
      </c>
      <c r="C11" s="194"/>
      <c r="D11" s="12">
        <f>ROUND(B11/C10,2)</f>
        <v>0.1</v>
      </c>
      <c r="E11" s="205"/>
      <c r="F11" s="203"/>
      <c r="G11" s="196"/>
    </row>
    <row r="12" spans="1:10" ht="14" x14ac:dyDescent="0.3">
      <c r="A12" s="34" t="s">
        <v>137</v>
      </c>
      <c r="B12" s="35">
        <v>75.75</v>
      </c>
      <c r="C12" s="194"/>
      <c r="D12" s="12">
        <f>ROUND(B12/C10,2)</f>
        <v>0.04</v>
      </c>
      <c r="E12" s="60">
        <f>D12</f>
        <v>0.04</v>
      </c>
      <c r="F12" s="35">
        <v>6</v>
      </c>
      <c r="G12" s="197"/>
      <c r="J12" s="61"/>
    </row>
    <row r="13" spans="1:10" ht="14" x14ac:dyDescent="0.3">
      <c r="A13" s="37"/>
      <c r="B13" s="38"/>
      <c r="C13" s="39"/>
      <c r="D13" s="40"/>
      <c r="E13" s="40"/>
      <c r="F13" s="40"/>
      <c r="G13" s="41"/>
    </row>
    <row r="14" spans="1:10" ht="36.75" customHeight="1" x14ac:dyDescent="0.25">
      <c r="A14" s="130" t="s">
        <v>139</v>
      </c>
      <c r="B14" s="130"/>
      <c r="C14" s="130"/>
      <c r="D14" s="130"/>
      <c r="E14" s="130"/>
      <c r="F14" s="130"/>
      <c r="G14" s="130"/>
    </row>
    <row r="15" spans="1:10" ht="60" customHeight="1" x14ac:dyDescent="0.25">
      <c r="A15" s="130" t="s">
        <v>140</v>
      </c>
      <c r="B15" s="130"/>
      <c r="C15" s="130"/>
      <c r="D15" s="130"/>
      <c r="E15" s="130"/>
      <c r="F15" s="130"/>
      <c r="G15" s="130"/>
    </row>
    <row r="16" spans="1:10" ht="43.5" customHeight="1" x14ac:dyDescent="0.25">
      <c r="A16" s="130" t="s">
        <v>141</v>
      </c>
      <c r="B16" s="130"/>
      <c r="C16" s="130"/>
      <c r="D16" s="130"/>
      <c r="E16" s="130"/>
      <c r="F16" s="130"/>
      <c r="G16" s="130"/>
    </row>
    <row r="17" spans="1:10" ht="16.5" customHeight="1" x14ac:dyDescent="0.25">
      <c r="A17" s="130" t="s">
        <v>142</v>
      </c>
      <c r="B17" s="130"/>
      <c r="C17" s="130"/>
      <c r="D17" s="130"/>
      <c r="E17" s="130"/>
      <c r="F17" s="130"/>
      <c r="G17" s="130"/>
    </row>
    <row r="20" spans="1:10" x14ac:dyDescent="0.25">
      <c r="J20" s="36"/>
    </row>
  </sheetData>
  <mergeCells count="16">
    <mergeCell ref="A17:G17"/>
    <mergeCell ref="A16:G16"/>
    <mergeCell ref="C6:C8"/>
    <mergeCell ref="A1:G1"/>
    <mergeCell ref="A2:G2"/>
    <mergeCell ref="A14:G14"/>
    <mergeCell ref="A15:G15"/>
    <mergeCell ref="C10:C12"/>
    <mergeCell ref="G6:G8"/>
    <mergeCell ref="G10:G12"/>
    <mergeCell ref="A5:G5"/>
    <mergeCell ref="A9:G9"/>
    <mergeCell ref="E6:E7"/>
    <mergeCell ref="F6:F7"/>
    <mergeCell ref="E10:E11"/>
    <mergeCell ref="F10:F11"/>
  </mergeCells>
  <pageMargins left="0.70866141732283472" right="0.70866141732283472" top="0.74803149606299213" bottom="0.74803149606299213" header="0.31496062992125984" footer="0.31496062992125984"/>
  <pageSetup paperSize="9" scale="98"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zoomScaleNormal="100" workbookViewId="0">
      <selection sqref="A1:B1"/>
    </sheetView>
  </sheetViews>
  <sheetFormatPr defaultColWidth="9.1796875" defaultRowHeight="15.5" x14ac:dyDescent="0.35"/>
  <cols>
    <col min="1" max="1" width="22.1796875" style="1" customWidth="1"/>
    <col min="2" max="2" width="110.1796875" style="1" customWidth="1"/>
    <col min="3" max="16384" width="9.1796875" style="1"/>
  </cols>
  <sheetData>
    <row r="1" spans="1:2" x14ac:dyDescent="0.35">
      <c r="A1" s="209" t="s">
        <v>143</v>
      </c>
      <c r="B1" s="209"/>
    </row>
    <row r="2" spans="1:2" ht="33.75" customHeight="1" x14ac:dyDescent="0.35">
      <c r="A2" s="206" t="s">
        <v>144</v>
      </c>
      <c r="B2" s="206"/>
    </row>
    <row r="3" spans="1:2" ht="243" customHeight="1" x14ac:dyDescent="0.35">
      <c r="A3" s="207" t="s">
        <v>145</v>
      </c>
      <c r="B3" s="208"/>
    </row>
  </sheetData>
  <mergeCells count="3">
    <mergeCell ref="A2:B2"/>
    <mergeCell ref="A3:B3"/>
    <mergeCell ref="A1:B1"/>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EE3C3F43D7910B4C90A18CD222E4576E" ma:contentTypeVersion="7" ma:contentTypeDescription="Izveidot jaunu dokumentu." ma:contentTypeScope="" ma:versionID="4f7ff57cc87e9f1f89ccee357422ed6a">
  <xsd:schema xmlns:xsd="http://www.w3.org/2001/XMLSchema" xmlns:xs="http://www.w3.org/2001/XMLSchema" xmlns:p="http://schemas.microsoft.com/office/2006/metadata/properties" xmlns:ns2="468eb95e-0487-43f6-b021-c543e1c0be87" xmlns:ns3="2d868c06-d131-488e-93d1-087529b960f0" targetNamespace="http://schemas.microsoft.com/office/2006/metadata/properties" ma:root="true" ma:fieldsID="8cfd4b44d09853066d4327dc8c5b2d14" ns2:_="" ns3:_="">
    <xsd:import namespace="468eb95e-0487-43f6-b021-c543e1c0be87"/>
    <xsd:import namespace="2d868c06-d131-488e-93d1-087529b960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8eb95e-0487-43f6-b021-c543e1c0be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868c06-d131-488e-93d1-087529b960f0"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83179B-BAE7-4152-94B3-8D0001CA0A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8eb95e-0487-43f6-b021-c543e1c0be87"/>
    <ds:schemaRef ds:uri="2d868c06-d131-488e-93d1-087529b960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65940A-51D0-4EDF-9F01-85F15EE44160}">
  <ds:schemaRefs>
    <ds:schemaRef ds:uri="http://schemas.microsoft.com/sharepoint/v3/contenttype/forms"/>
  </ds:schemaRefs>
</ds:datastoreItem>
</file>

<file path=customXml/itemProps3.xml><?xml version="1.0" encoding="utf-8"?>
<ds:datastoreItem xmlns:ds="http://schemas.openxmlformats.org/officeDocument/2006/customXml" ds:itemID="{9E859384-45D7-4678-A6ED-97A7097DF37B}">
  <ds:schemaRefs>
    <ds:schemaRef ds:uri="http://purl.org/dc/dcmitype/"/>
    <ds:schemaRef ds:uri="http://schemas.microsoft.com/office/2006/documentManagement/types"/>
    <ds:schemaRef ds:uri="http://purl.org/dc/terms/"/>
    <ds:schemaRef ds:uri="http://purl.org/dc/elements/1.1/"/>
    <ds:schemaRef ds:uri="2d868c06-d131-488e-93d1-087529b960f0"/>
    <ds:schemaRef ds:uri="468eb95e-0487-43f6-b021-c543e1c0be87"/>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3.1. pielikums</vt:lpstr>
      <vt:lpstr>3.2. pielikums</vt:lpstr>
      <vt:lpstr>3.3. pielikums</vt:lpstr>
      <vt:lpstr>3.4. pielikums</vt:lpstr>
      <vt:lpstr>3.5. pielikums</vt:lpstr>
      <vt:lpstr>3.6. pielikums</vt:lpstr>
      <vt:lpstr>3.7. pielikums</vt:lpstr>
      <vt:lpstr>'3.2. pielikums'!Print_Titles</vt:lpstr>
      <vt:lpstr>'3.3. pielikums'!Print_Titles</vt:lpstr>
    </vt:vector>
  </TitlesOfParts>
  <Manager/>
  <Company>LRLM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Vjačeslavs Makarovs</dc:creator>
  <cp:keywords/>
  <dc:description/>
  <cp:lastModifiedBy>Vjačeslavs Makarovs</cp:lastModifiedBy>
  <cp:revision/>
  <cp:lastPrinted>2023-03-03T07:20:11Z</cp:lastPrinted>
  <dcterms:created xsi:type="dcterms:W3CDTF">2012-09-03T07:32:21Z</dcterms:created>
  <dcterms:modified xsi:type="dcterms:W3CDTF">2023-03-15T09:03:42Z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0x010100EE3C3F43D7910B4C90A18CD222E4576E</vt:lpwstr>
  </property>
</Properties>
</file>