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7 (inflācija)\"/>
    </mc:Choice>
  </mc:AlternateContent>
  <xr:revisionPtr revIDLastSave="0" documentId="8_{C425B9A6-5CA0-4680-9A4D-070EDE51F6C7}" xr6:coauthVersionLast="47" xr6:coauthVersionMax="47" xr10:uidLastSave="{00000000-0000-0000-0000-000000000000}"/>
  <bookViews>
    <workbookView xWindow="-110" yWindow="-110" windowWidth="19420" windowHeight="10420" activeTab="1" xr2:uid="{00000000-000D-0000-FFFF-FFFF00000000}"/>
  </bookViews>
  <sheets>
    <sheet name="4.1. pielikums" sheetId="10" r:id="rId1"/>
    <sheet name="4.2. pielikums" sheetId="2" r:id="rId2"/>
    <sheet name="4.3. pielikums" sheetId="8" r:id="rId3"/>
    <sheet name="4.4. pielikums" sheetId="11" r:id="rId4"/>
    <sheet name="4.5. pielikums" sheetId="12" r:id="rId5"/>
    <sheet name="4.6. pielikums" sheetId="14" r:id="rId6"/>
    <sheet name="4.7. pielikums" sheetId="13" r:id="rId7"/>
  </sheets>
  <definedNames>
    <definedName name="_xlnm.Print_Titles" localSheetId="1">'4.2. pielikums'!$3:$3</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9" i="8" l="1"/>
  <c r="C8" i="8"/>
  <c r="C7" i="8"/>
  <c r="C6" i="8"/>
  <c r="C49" i="2"/>
  <c r="D41" i="2"/>
  <c r="D42" i="2" s="1"/>
  <c r="D43" i="2" s="1"/>
  <c r="D44" i="2" s="1"/>
  <c r="D45" i="2" s="1"/>
  <c r="D46" i="2" s="1"/>
  <c r="D47" i="2" s="1"/>
  <c r="C40" i="2" s="1"/>
  <c r="D33" i="2"/>
  <c r="D34" i="2" s="1"/>
  <c r="D35" i="2" s="1"/>
  <c r="D24" i="2"/>
  <c r="D25" i="2" s="1"/>
  <c r="D15" i="2"/>
  <c r="D16" i="2" s="1"/>
  <c r="D6" i="2"/>
  <c r="D7" i="2" s="1"/>
  <c r="D36" i="2" l="1"/>
  <c r="D37" i="2" s="1"/>
  <c r="D38" i="2" s="1"/>
  <c r="D39" i="2" s="1"/>
  <c r="C32" i="2" s="1"/>
  <c r="D26" i="2"/>
  <c r="D27" i="2" s="1"/>
  <c r="D28" i="2" s="1"/>
  <c r="D29" i="2" s="1"/>
  <c r="D30" i="2" s="1"/>
  <c r="D31" i="2" s="1"/>
  <c r="C23" i="2" s="1"/>
  <c r="D17" i="2"/>
  <c r="D18" i="2" s="1"/>
  <c r="D19" i="2" s="1"/>
  <c r="D20" i="2" s="1"/>
  <c r="D8" i="2"/>
  <c r="D9" i="2" s="1"/>
  <c r="D10" i="2" s="1"/>
  <c r="D11" i="2" s="1"/>
  <c r="D21" i="2" l="1"/>
  <c r="D22" i="2" s="1"/>
  <c r="C14" i="2" s="1"/>
  <c r="D12" i="2"/>
  <c r="D13" i="2" s="1"/>
  <c r="C5" i="2" s="1"/>
  <c r="C4" i="2" s="1"/>
  <c r="B10" i="8" l="1"/>
  <c r="D9" i="8"/>
  <c r="E9" i="8" s="1"/>
  <c r="F9" i="8" s="1"/>
  <c r="D8" i="8"/>
  <c r="E8" i="8" s="1"/>
  <c r="F8" i="8" s="1"/>
  <c r="D7" i="8"/>
  <c r="B4" i="2"/>
  <c r="A49" i="2"/>
  <c r="D5" i="14"/>
  <c r="E5" i="14" s="1"/>
  <c r="D7" i="14"/>
  <c r="E7" i="14" s="1"/>
  <c r="A58" i="2"/>
  <c r="A57" i="2"/>
  <c r="A56" i="2"/>
  <c r="A55" i="2"/>
  <c r="A54" i="2"/>
  <c r="A52" i="2"/>
  <c r="A51" i="2"/>
  <c r="A50" i="2"/>
  <c r="V6" i="11"/>
  <c r="V7" i="11"/>
  <c r="V8" i="11"/>
  <c r="V9" i="11"/>
  <c r="V10" i="11"/>
  <c r="V11" i="11"/>
  <c r="V12" i="11"/>
  <c r="V13" i="11"/>
  <c r="V14" i="11"/>
  <c r="V15" i="11"/>
  <c r="V17" i="11"/>
  <c r="V5" i="11"/>
  <c r="O5" i="11"/>
  <c r="O11" i="11"/>
  <c r="D6" i="8"/>
  <c r="E6" i="8" s="1"/>
  <c r="F6" i="8" s="1"/>
  <c r="C7" i="12"/>
  <c r="C8" i="12" s="1"/>
  <c r="C10" i="12" s="1"/>
  <c r="C11" i="12" s="1"/>
  <c r="C12" i="12" s="1"/>
  <c r="C59" i="2" s="1"/>
  <c r="O16" i="11"/>
  <c r="W16" i="11" s="1"/>
  <c r="O17" i="11"/>
  <c r="H17" i="11"/>
  <c r="O15" i="11"/>
  <c r="H15" i="11"/>
  <c r="O14" i="11"/>
  <c r="H14" i="11"/>
  <c r="O13" i="11"/>
  <c r="H13" i="11"/>
  <c r="W13" i="11" s="1"/>
  <c r="O12" i="11"/>
  <c r="H12" i="11"/>
  <c r="H11" i="11"/>
  <c r="W11" i="11" s="1"/>
  <c r="C53" i="2" s="1"/>
  <c r="O10" i="11"/>
  <c r="H10" i="11"/>
  <c r="O9" i="11"/>
  <c r="H9" i="11"/>
  <c r="O8" i="11"/>
  <c r="H8" i="11"/>
  <c r="O7" i="11"/>
  <c r="H7" i="11"/>
  <c r="O6" i="11"/>
  <c r="H6" i="11"/>
  <c r="W6" i="11" s="1"/>
  <c r="H5" i="11"/>
  <c r="C55" i="2" l="1"/>
  <c r="W5" i="11"/>
  <c r="W7" i="11"/>
  <c r="W12" i="11"/>
  <c r="C10" i="8"/>
  <c r="W8" i="11"/>
  <c r="W10" i="11"/>
  <c r="W14" i="11"/>
  <c r="W17" i="11"/>
  <c r="W9" i="11"/>
  <c r="W15" i="11"/>
  <c r="G6" i="14"/>
  <c r="C61" i="2" s="1"/>
  <c r="D10" i="8"/>
  <c r="E7" i="8"/>
  <c r="F7" i="8" l="1"/>
  <c r="F10" i="8" s="1"/>
  <c r="C60" i="2" s="1"/>
  <c r="C56" i="2"/>
  <c r="C50" i="2"/>
  <c r="C58" i="2"/>
  <c r="C57" i="2"/>
  <c r="C51" i="2"/>
  <c r="C52" i="2"/>
  <c r="C54" i="2"/>
  <c r="E10" i="8"/>
  <c r="C48" i="2" l="1"/>
  <c r="B62" i="2" s="1"/>
</calcChain>
</file>

<file path=xl/sharedStrings.xml><?xml version="1.0" encoding="utf-8"?>
<sst xmlns="http://schemas.openxmlformats.org/spreadsheetml/2006/main" count="239" uniqueCount="148">
  <si>
    <t>4.1. pielikums</t>
  </si>
  <si>
    <t>Pakalpojuma "Specializētās darbnīcas" apraksts</t>
  </si>
  <si>
    <t>Pakalpojuma mērķis</t>
  </si>
  <si>
    <t>Specialziētās darbnīcas ir darbnīcas, kurās izveidotas darba vietas un nodrošināts speciālistu atbalsts personām ar garīga rakstura traucējumiem.</t>
  </si>
  <si>
    <t>Pakalpojuma  saturs un apjoms</t>
  </si>
  <si>
    <t>Klientam saskaņā ar Ministru kabineta 2017. gada 13. jūnija noteikumiem Nr. 338 "Prasības sociālo pakalpojumu sniedzējiem" (turpmāk - MK noteikumi Nr. 338) 176. punktu nodrošina:
- klienta nodarbinātības interešu un iemaņu novērtēšanu – atbilstoši vajadzībai;
- darba iemaņu apguvi;
- individuālās vai grupu nodarbības sociālā rehabilitētāja vadībā;
- sociālā darbinieka individuālās konsultācijas;
- klientu informēšanas un izglītošanas pasākumus atbilstoši nepieciešamībai;
- brīvā laika pasākumus.
Saskaņā ar MK noteikumu Nr. 338 178. punktu pakalpojuma sniedzējs var nodrošināt klientiem ēdināšanu.</t>
  </si>
  <si>
    <t>Īpašie nosacījumi</t>
  </si>
  <si>
    <t>Specializētā darbnīca strādā pilnu darba dienas darbalaiku, pirmssvētku dienās centra darba diena ir par vienu stundu īsāka.</t>
  </si>
  <si>
    <r>
      <t xml:space="preserve">Pakalpojuma izmaksas uz vienu klientu ir aprēķinātas, vadoties no situācijas, ka vienā darbnīcā pakalpojumu saņem 16 klienti. </t>
    </r>
    <r>
      <rPr>
        <sz val="11"/>
        <rFont val="Times New Roman"/>
        <family val="1"/>
        <charset val="186"/>
      </rPr>
      <t xml:space="preserve">Darbnīca saņem aprēķināto vienas dienas izmaksu summu </t>
    </r>
    <r>
      <rPr>
        <sz val="11"/>
        <color indexed="8"/>
        <rFont val="Times New Roman"/>
        <family val="1"/>
        <charset val="186"/>
      </rPr>
      <t>atbilstoši klie</t>
    </r>
    <r>
      <rPr>
        <sz val="11"/>
        <rFont val="Times New Roman"/>
        <family val="1"/>
        <charset val="186"/>
      </rPr>
      <t xml:space="preserve">ntu skaitam un darba dienu skaitam. </t>
    </r>
  </si>
  <si>
    <t>4.2. pielikums</t>
  </si>
  <si>
    <r>
      <t>Pakalpojuma "Specializētās darbnīcas" vienības izmaksu standarta likmes aprēķins</t>
    </r>
    <r>
      <rPr>
        <sz val="12"/>
        <rFont val="Arial"/>
        <family val="1"/>
        <charset val="186"/>
      </rPr>
      <t/>
    </r>
  </si>
  <si>
    <t xml:space="preserve"> Slodze</t>
  </si>
  <si>
    <t>Izmaksas                         1 klientam                dienā</t>
  </si>
  <si>
    <t>Aprēķins</t>
  </si>
  <si>
    <t>Paskaidrojums</t>
  </si>
  <si>
    <t>Apraksts</t>
  </si>
  <si>
    <t>Atlīdzības izmaksas kopā</t>
  </si>
  <si>
    <t xml:space="preserve">Darbu vadītājs
(8 h darba dienā) </t>
  </si>
  <si>
    <t>mēnešalgas bāze</t>
  </si>
  <si>
    <r>
      <rPr>
        <b/>
        <sz val="11"/>
        <color theme="1"/>
        <rFont val="Times New Roman"/>
        <family val="1"/>
        <charset val="186"/>
      </rPr>
      <t>Darbu vadītājs</t>
    </r>
    <r>
      <rPr>
        <sz val="11"/>
        <color theme="1"/>
        <rFont val="Times New Roman"/>
        <family val="1"/>
        <charset val="186"/>
      </rPr>
      <t xml:space="preserve"> pielīdzināts sociālajam rehabilitētājam, kas saskaņā ar</t>
    </r>
    <r>
      <rPr>
        <sz val="11"/>
        <color rgb="FF0070C0"/>
        <rFont val="Times New Roman"/>
        <family val="1"/>
        <charset val="186"/>
      </rPr>
      <t xml:space="preserve"> 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</si>
  <si>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 xml:space="preserve">Pienākumi: (1) novērtēt klienta nodarbinātības intereses un iemaņas, to attīstības potenciālu; (2) organizēt un vadīt darba iemaņu apgūšanu, skaidrot un uzraudzīt, kā klients lieto darbam nepieciešamos instrumentus, iekārtas u.c. līdzekļus; (3) sniegt informāciju un skaidrojumus par nodarbinātības jautājumiem.  </t>
  </si>
  <si>
    <t>piemaksa 25%</t>
  </si>
  <si>
    <t>mēnešalgas bāze un piemaksa 25%</t>
  </si>
  <si>
    <t>VSAOI 23.59%</t>
  </si>
  <si>
    <t>atlīdzība mēnesī (1 slodze)</t>
  </si>
  <si>
    <t>atlīdzība gadā</t>
  </si>
  <si>
    <t>atlīdzība stundā</t>
  </si>
  <si>
    <t>Sociālais rehabilitētājs
(4 h darba dienā)</t>
  </si>
  <si>
    <r>
      <rPr>
        <b/>
        <sz val="11"/>
        <color theme="1"/>
        <rFont val="Times New Roman"/>
        <family val="1"/>
        <charset val="186"/>
      </rPr>
      <t>Sociālais rehabilitētajs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noteikta minimālā atlīdzība 705 EUR, bet </t>
    </r>
    <r>
      <rPr>
        <b/>
        <sz val="11"/>
        <color theme="1"/>
        <rFont val="Times New Roman"/>
        <family val="1"/>
        <charset val="186"/>
      </rPr>
      <t>viduspunkts 1005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</si>
  <si>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ievākt informāciju par klienta vajadzībām un novērtēt viņa sociālās iemaņas; (2) palīdzēt klientiem uzlabot viņu sociālās funkcionēšanas spējas; (3) novērtēt, kā mainās klienta sociālā funkcionēšana, palīdzēt klientam orientēties darba vidē; (4) skaidrot informāciju un palīdzēt izmantot informācijas tehnoloģijas; (5) palīdzēt organizēt brīvo laiku.</t>
  </si>
  <si>
    <t>atlīdzība stundā (16 klienit)</t>
  </si>
  <si>
    <t>atlīdzība darba dienā (16 klienti)</t>
  </si>
  <si>
    <t>atlīdzība darba dienā (1 klients)</t>
  </si>
  <si>
    <t xml:space="preserve">Sociālais darbinieks
(4 h darba dienā) </t>
  </si>
  <si>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noteikta minimālā atlīdzība 1076 EUR, bet </t>
    </r>
    <r>
      <rPr>
        <b/>
        <sz val="11"/>
        <color theme="1"/>
        <rFont val="Times New Roman"/>
        <family val="1"/>
        <charset val="186"/>
      </rPr>
      <t>viduspunkts 1537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</si>
  <si>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</si>
  <si>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Darbnīcas vadītājs</t>
  </si>
  <si>
    <t>Pienākumi: (1) vadīt struktūrvienības darbu; (2) pārraudzīt citu darbinieku darbu; (3) iesaistīties sarežģītu problēmu risināšanā.</t>
  </si>
  <si>
    <t>atlīdzība mēnesī (0.5 slodzes)</t>
  </si>
  <si>
    <t>atlīdzība stundā (16 klienti)</t>
  </si>
  <si>
    <t xml:space="preserve">  Grāmatvedis</t>
  </si>
  <si>
    <r>
      <t xml:space="preserve">
G</t>
    </r>
    <r>
      <rPr>
        <b/>
        <sz val="11"/>
        <color theme="1"/>
        <rFont val="Times New Roman"/>
        <family val="1"/>
        <charset val="186"/>
      </rPr>
      <t>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noteikta minimālā atlīdzība 899 EUR, bet </t>
    </r>
    <r>
      <rPr>
        <b/>
        <sz val="11"/>
        <color theme="1"/>
        <rFont val="Times New Roman"/>
        <family val="1"/>
        <charset val="186"/>
      </rPr>
      <t>viduspunkts 1291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</si>
  <si>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Pienākumi:  (1) gatavot pārskatus grāmatvedības jomā, veikt tiem nepieciešamos aprēķinus; (2) piedalīties gada un ceturkšņa pārskatu sastādīšanā; (3) veikt pilnu grāmatvedības uzskaiti iestādē.</t>
  </si>
  <si>
    <t>atlīdzība mēnesī (0.2 slodzes)</t>
  </si>
  <si>
    <t>Ar pakalpojuma  administrēšanu, prasību nodrošināšanu un klientu uzturēšanu saistītās izmaksas  kopā</t>
  </si>
  <si>
    <t>Inflācija % [1]</t>
  </si>
  <si>
    <t>Vidējās izmaksas aprēķinātas saskaņā ar 6 SD iesniegtajām izmaksu tāmēm par 2014., 2015. un 2016. gadu. Aprēķinu skat. 4.4. pielikumā</t>
  </si>
  <si>
    <t>Tiek nodrošināta ēdināšana 1 reizi dienā – pusdienas.  Ēdināšanas izmaksas visiem pakalpojumiem tiek nodrošinātas vienādā apmērā. Pārtika, samaksa par izdevumiem ēdināšanas nodrošināšanai, kā arī ēdināšanas pakalpojumi.</t>
  </si>
  <si>
    <t>Mācību materiāli un līdzekļi, lai nodrošinātu nodarbības klientiem.</t>
  </si>
  <si>
    <t>Transports (degviela, īre, apkope, apdrošināšana u.c.)</t>
  </si>
  <si>
    <t>Telpu īres izmaksas, komunālie pakalpojumi (apkure, ūdens un kanalizācija, elektrība, gāze, atkritumu izvešana) un uzturēšanas pakalpojumi (apdrošināšana, signalizācijas sistēmu uzstādīšana, remontdarbu pakalpojumi).</t>
  </si>
  <si>
    <t>Speciālo darbnīcu izmaksas</t>
  </si>
  <si>
    <t>Aprēķinu skat. 4.5. pielikumā</t>
  </si>
  <si>
    <t xml:space="preserve">Darba devēja apmaksātie veselības apdrošināšanas izdevumi </t>
  </si>
  <si>
    <t>Aprēķinu skat. 4.3. pielikumā</t>
  </si>
  <si>
    <t>Supervīzija</t>
  </si>
  <si>
    <t>Aprēķinu skat. 4.6. pielikumā.
Obligātās supervīzijas prasības sociālo pakalpojumu sniedzējiem noteiktas Ministru kabineta 2017. gada 13. jūnija noteikumu Nr. 338 9.2. apakšpunktā un 186. punktā.</t>
  </si>
  <si>
    <t>Kopā:</t>
  </si>
  <si>
    <t>4.3. pielikums</t>
  </si>
  <si>
    <t>Darbinieku veselības apdrošināšanas izmaksu aprēķins  pakalpojumam "Specializētās darbnīcas"</t>
  </si>
  <si>
    <t>Pakalpojumi/speciālisti</t>
  </si>
  <si>
    <t xml:space="preserve">Klientu skaits, kam plānots sniegt pakalpojumu </t>
  </si>
  <si>
    <t xml:space="preserve">Speciālistu (slodžu) skaits </t>
  </si>
  <si>
    <t>Veselības apdrošināšanas izmaksas gadā, euro [1]</t>
  </si>
  <si>
    <t>Veselības apdrošināšanas izmaksas par 1 klientu gadā,  euro</t>
  </si>
  <si>
    <t>Veselības apdrošināšanas izmaksas par 1 klientu dienā, euro</t>
  </si>
  <si>
    <t>4=3*213.43 euro</t>
  </si>
  <si>
    <t>5=4/2</t>
  </si>
  <si>
    <t xml:space="preserve">Pakalpojums "Specializētā darbnīca"  </t>
  </si>
  <si>
    <t>darbu vadītājs un sociālais rehabilitētājs</t>
  </si>
  <si>
    <t>sociālais darbinieks</t>
  </si>
  <si>
    <t>darbnīcas vadītājs</t>
  </si>
  <si>
    <t>grāmatvedis</t>
  </si>
  <si>
    <t>4.4. pielikums</t>
  </si>
  <si>
    <t>Pakalpojuma "Specializētās darbnīcas"  sniedzēju izmaksu apkopojums un vidējo izmaksu aprēķins</t>
  </si>
  <si>
    <t>Nr. p.k.</t>
  </si>
  <si>
    <t>Izdevumu pozīcija</t>
  </si>
  <si>
    <t>Izmaksas par vienu klientu dienā 2014. gadā, euro</t>
  </si>
  <si>
    <t>Izmaksas par vienu klientu dienā 2015. gadā, euro</t>
  </si>
  <si>
    <t>Izmaksas par vienu klientu dienā 2016. gadā, euro</t>
  </si>
  <si>
    <t xml:space="preserve">Vidēji (kopā) </t>
  </si>
  <si>
    <t>SD1</t>
  </si>
  <si>
    <t>SD2</t>
  </si>
  <si>
    <t>SD3</t>
  </si>
  <si>
    <t>SD4</t>
  </si>
  <si>
    <t>SD5</t>
  </si>
  <si>
    <t>Vidēji</t>
  </si>
  <si>
    <t>SD6</t>
  </si>
  <si>
    <t>Atlīdzība [1]</t>
  </si>
  <si>
    <t>Sakaru pakalpojumi (telefons, internets, pasts)</t>
  </si>
  <si>
    <t>-</t>
  </si>
  <si>
    <t>Ēdināšanas izdevumi</t>
  </si>
  <si>
    <t>Saimniecības un higiēnas preces</t>
  </si>
  <si>
    <t>Mācību materiāli un līdzekļi</t>
  </si>
  <si>
    <t>Kancelejas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</si>
  <si>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</si>
  <si>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</si>
  <si>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</si>
  <si>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</si>
  <si>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</si>
  <si>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t>
  </si>
  <si>
    <t>Inventārs, iekārtu remonts (materiāli un pakalpojums)</t>
  </si>
  <si>
    <t>Informācija iegūta no pašvaldībām un pašvaldību pakalpojumu sniedzējiem / no Sociālo pakalpojumu sniedzēju reģistrā reģistrētajiem 9 pakalpojumu sniedzējiem informācija iegūta no 6.</t>
  </si>
  <si>
    <t>4.5. pielikums</t>
  </si>
  <si>
    <t>Speciālo darbnīcu iekārtu izmaksu aprēķins</t>
  </si>
  <si>
    <t>Pakalpojuma sniedzējs/ izmaksas</t>
  </si>
  <si>
    <t>Specializēto darbnīcu iekārtu izmaksas, euro</t>
  </si>
  <si>
    <t xml:space="preserve">Biedrība "Rīgas pilsētas "Rūpju bērns"" </t>
  </si>
  <si>
    <t>Nodibinājums"Fonds Kopā"</t>
  </si>
  <si>
    <t>Biedrība "PINS"</t>
  </si>
  <si>
    <t>Izmaksas kopā</t>
  </si>
  <si>
    <t>Vidējās izmaksas par 1 pakalpojuma sniedzēju</t>
  </si>
  <si>
    <t>Iekārtu lietošanas laiks 10 gadi = 120 mēneši</t>
  </si>
  <si>
    <t>Vidējās izmaksas mēnesī par 1 pakalpojuma sniedzēju</t>
  </si>
  <si>
    <t>Vidējās izmaksas mēnesī par 16 klientiem</t>
  </si>
  <si>
    <t>Vidējās izmaksas dienā par 1 klientu</t>
  </si>
  <si>
    <t>4.6. pielikums</t>
  </si>
  <si>
    <t>Supervīzijas izmaksu aprēķins pakalpojumam "Specializētās darbnīcas"</t>
  </si>
  <si>
    <t>Speciālists</t>
  </si>
  <si>
    <t>Supervīzijas cena vienam darbiniekam, euro/gadā [1]</t>
  </si>
  <si>
    <t xml:space="preserve">Darba laiks gadā [2] </t>
  </si>
  <si>
    <t>Supervīzijas izmaksas par darba stundu (viens darbinieks)</t>
  </si>
  <si>
    <t>Vidējās supervīzijas izmaksas par darba stundu (viens darbinieks)</t>
  </si>
  <si>
    <t>Darbinieku skaits</t>
  </si>
  <si>
    <t>Vidējās supervīzijas izmaksas par darba stundu (divi darbinieki) [3]</t>
  </si>
  <si>
    <t>4=2/3</t>
  </si>
  <si>
    <t>5=4 (vidējais)</t>
  </si>
  <si>
    <t>7=5*6 darbinieki</t>
  </si>
  <si>
    <t>Sociālā darba speciālists [4]</t>
  </si>
  <si>
    <t>Institūcijas un struktūrvienības vadītājs</t>
  </si>
  <si>
    <t>Pārējie darbinieki</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</si>
  <si>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</si>
  <si>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</si>
  <si>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četriem darbiniekiem, ņemot vērā, ka vienas vienības izmaksu standarta likmes aprēķinā pieņemts, ka pakalpojumu nodrošina četri darbinieki darbinieki, neieskaitot grāmatvedi (grāmatvedis neveic tiešu darbu ar klientu).</t>
  </si>
  <si>
    <t>[4] Sociālā darba speciālisti - sociālais darbinieks, sociālais rehabilitētājs un sociālais aprūpētājs.</t>
  </si>
  <si>
    <t>4.7. pielikums</t>
  </si>
  <si>
    <t>Informācija par sociālo pakalpojumu sniedzējiem, kuru sniegtā informācija tika analizēta, veidojot pakalpojuma "Specializētās darbnīcas" grozu</t>
  </si>
  <si>
    <t>Informācija iegūta no pašvaldībām un pašvaldību pakalpojumu sniedzējiem (6 pakalpojumu sniedzējiem, kas veido 67 % no Sociālo pakalpojumu sniedzēju reģistrā reģistrētajām specializētajām darbnīcām pilngadīgām personām ar garīga rakstura  (kopā uz atlases brīdi bija reģistrēti 9 specializēto darbnīcu pakalpojumu sniedzēji), t.sk. Rīgas plānošanas reģions – nodibinājuma "Fonds KOPĀ" 1 SD Rīgā, biedrības "Rīgas pilsētas Rūpju bērns" 1 SD Rīgā, biedrības "PINS" 1 SD Rīgā; bērnu un jauniešu biedrības "Cerību spārni" 1 SD Siguldā, biedrības "Aicinājums Tev" 1 SD Siguldā, pašvaldības aģentūras "Jūrmalas sociālās aprūpes centrs" 1 SD Jūrmalā.
Sākotnēji informācija par specializēto darbnīcu pakalpojuma sniegšanas izmaksām tika pieprasīta no Sociālo pakalpojumu sniedzēju reģistrā reģistrētiem specializēto darbnīcu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specializēto darbnīcu pakalpojuma sniedzējiem, kuri atsaucās aicinājumam sniegt pieprasīto informāciju. Informācija par Biedrības "Cerību spārni" specializētās darbnīcas pakalpojumu izmaksām tika saņemta par 2015.g., jo 2014,.g pakalpojums vēl netika sniegts.</t>
  </si>
  <si>
    <r>
      <rPr>
        <b/>
        <sz val="11"/>
        <color theme="1"/>
        <rFont val="Times New Roman"/>
        <family val="1"/>
        <charset val="186"/>
      </rPr>
      <t>Darbnīcas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noteikta minimālā atlīdzība 1301 EUR, bet </t>
    </r>
    <r>
      <rPr>
        <b/>
        <sz val="11"/>
        <color theme="1"/>
        <rFont val="Times New Roman"/>
        <family val="1"/>
        <charset val="186"/>
      </rPr>
      <t>viduspunkts 1859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</si>
  <si>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t>[1] Administratīvās izmaksas indeksētas, piemērojot inflācijas % patēriņa grupai "0 VISAS PRECES UN PAKALPOJUMI" no 2017. gada janvāra atbilstoši CSP datiem (https://tools.csb.gov.lv/cpi_calculator/lv/2017M01-2022M08/0/100).</t>
  </si>
  <si>
    <t>atlīdzība darba dienā (8 h 16 klienti)</t>
  </si>
  <si>
    <t>atlīdzība darba dienā (8 h 1 klients)</t>
  </si>
  <si>
    <t>atlīdzība dienā (4 h 16 klienti)</t>
  </si>
  <si>
    <t>atlīdzība dienā (4 h 1 klients)</t>
  </si>
  <si>
    <t>Gadā 1720 darba stundas, t.sk. 143.3 darba stundas mēnesī.</t>
  </si>
  <si>
    <t>6=5/215 darba dienas gadā</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</si>
  <si>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</si>
  <si>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 Atlīdzība - pakalpojuma sniedzēju izmaksu apkopojums un vidējo izmaksu aprēķins netiek iekļauts vienas vienības izmaksu standara likmes aprēķinā, jo darbinieku atlīdzība aprēķināta saskaņā ar MK 26.04.2022. noteikumiem Nr. 262 (skat. 4.2. pielikumu).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</si>
</sst>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sz val="12"/>
      <name val="Arial"/>
      <family val="1"/>
      <charset val="186"/>
    </font>
    <font>
      <sz val="11"/>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1">
    <xf numFmtId="0" fontId="0" fillId="0" borderId="0" xfId="0"/>
    <xf numFmtId="0" fontId="2" fillId="0" borderId="0" xfId="0" applyFont="1"/>
    <xf numFmtId="0" fontId="3" fillId="0" borderId="0" xfId="0" applyFont="1"/>
    <xf numFmtId="0" fontId="3" fillId="0" borderId="1" xfId="0" applyFont="1" applyBorder="1" applyAlignment="1">
      <alignment vertical="center" wrapText="1"/>
    </xf>
    <xf numFmtId="0" fontId="10" fillId="0" borderId="0" xfId="0" applyFont="1"/>
    <xf numFmtId="1" fontId="10"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wrapText="1"/>
    </xf>
    <xf numFmtId="0" fontId="10"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horizontal="center"/>
    </xf>
    <xf numFmtId="0" fontId="3" fillId="0" borderId="0" xfId="0" applyFont="1" applyAlignment="1">
      <alignment horizontal="right" shrinkToFit="1"/>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2" fontId="3" fillId="0" borderId="0" xfId="0" applyNumberFormat="1" applyFont="1" applyAlignment="1">
      <alignment wrapText="1"/>
    </xf>
    <xf numFmtId="4" fontId="3" fillId="0" borderId="0" xfId="0" applyNumberFormat="1" applyFont="1"/>
    <xf numFmtId="0" fontId="12" fillId="0" borderId="0" xfId="0" applyFont="1"/>
    <xf numFmtId="2" fontId="11" fillId="0" borderId="17" xfId="0" applyNumberFormat="1" applyFont="1" applyBorder="1" applyAlignment="1">
      <alignment horizontal="center" vertical="center"/>
    </xf>
    <xf numFmtId="2" fontId="11" fillId="0" borderId="18" xfId="0" applyNumberFormat="1" applyFont="1" applyBorder="1" applyAlignment="1">
      <alignment horizontal="center" vertical="center"/>
    </xf>
    <xf numFmtId="2" fontId="11" fillId="0" borderId="19" xfId="0" applyNumberFormat="1" applyFont="1" applyBorder="1" applyAlignment="1">
      <alignment horizontal="center" vertical="center"/>
    </xf>
    <xf numFmtId="0" fontId="11" fillId="0" borderId="0" xfId="0" applyFont="1" applyAlignment="1">
      <alignment wrapText="1"/>
    </xf>
    <xf numFmtId="2"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0" borderId="10" xfId="0" applyFont="1" applyBorder="1" applyAlignment="1">
      <alignment horizontal="center" vertical="center"/>
    </xf>
    <xf numFmtId="0" fontId="11" fillId="0" borderId="1" xfId="0" applyFont="1" applyBorder="1" applyAlignment="1">
      <alignment horizontal="left" vertical="center" wrapText="1"/>
    </xf>
    <xf numFmtId="3" fontId="10" fillId="2"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7" fillId="0" borderId="0" xfId="0" applyFont="1"/>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xf>
    <xf numFmtId="9" fontId="11" fillId="3" borderId="1" xfId="1" applyFont="1" applyFill="1" applyBorder="1" applyAlignment="1">
      <alignment horizontal="center" vertical="center"/>
    </xf>
    <xf numFmtId="0" fontId="10" fillId="3" borderId="8" xfId="0" applyFont="1" applyFill="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3" fillId="0" borderId="1" xfId="0" applyFont="1" applyBorder="1" applyAlignment="1">
      <alignment wrapText="1"/>
    </xf>
    <xf numFmtId="0" fontId="11" fillId="3" borderId="1" xfId="0" applyFont="1" applyFill="1" applyBorder="1" applyAlignment="1">
      <alignment horizontal="right" wrapText="1"/>
    </xf>
    <xf numFmtId="0" fontId="11" fillId="0" borderId="11" xfId="0" applyFont="1" applyBorder="1"/>
    <xf numFmtId="0" fontId="10" fillId="0" borderId="11" xfId="0" applyFont="1" applyBorder="1"/>
    <xf numFmtId="0" fontId="10" fillId="5"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10" fillId="5"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9" fillId="0" borderId="0" xfId="0" applyFont="1"/>
    <xf numFmtId="4" fontId="15" fillId="0" borderId="1"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6" fillId="0" borderId="7"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9" xfId="0" applyNumberFormat="1" applyFont="1" applyBorder="1" applyAlignment="1">
      <alignment horizontal="center" vertical="center"/>
    </xf>
    <xf numFmtId="4" fontId="17" fillId="0" borderId="7" xfId="0" applyNumberFormat="1" applyFont="1" applyBorder="1" applyAlignment="1">
      <alignment horizontal="center" vertical="center"/>
    </xf>
    <xf numFmtId="4" fontId="10" fillId="0" borderId="1" xfId="0" applyNumberFormat="1" applyFont="1" applyBorder="1" applyAlignment="1">
      <alignment horizontal="right" vertical="center"/>
    </xf>
    <xf numFmtId="4" fontId="10" fillId="0" borderId="6" xfId="0" applyNumberFormat="1" applyFont="1" applyBorder="1" applyAlignment="1">
      <alignment horizontal="right" vertical="center"/>
    </xf>
    <xf numFmtId="4" fontId="11" fillId="0" borderId="7" xfId="0" applyNumberFormat="1" applyFont="1" applyBorder="1" applyAlignment="1">
      <alignment horizontal="right" vertical="center"/>
    </xf>
    <xf numFmtId="4" fontId="10" fillId="0" borderId="8" xfId="0" applyNumberFormat="1" applyFont="1" applyBorder="1" applyAlignment="1">
      <alignment horizontal="right" vertical="center"/>
    </xf>
    <xf numFmtId="4" fontId="10" fillId="0" borderId="9" xfId="0" applyNumberFormat="1" applyFont="1" applyBorder="1" applyAlignment="1">
      <alignment horizontal="right" vertical="center"/>
    </xf>
    <xf numFmtId="4" fontId="10" fillId="4" borderId="6" xfId="0" applyNumberFormat="1" applyFont="1" applyFill="1" applyBorder="1" applyAlignment="1">
      <alignment horizontal="right" vertical="center"/>
    </xf>
    <xf numFmtId="4" fontId="5" fillId="0" borderId="7" xfId="0" applyNumberFormat="1" applyFont="1" applyBorder="1" applyAlignment="1">
      <alignment horizontal="right" vertical="center"/>
    </xf>
    <xf numFmtId="4" fontId="10" fillId="4" borderId="1" xfId="0" applyNumberFormat="1" applyFont="1" applyFill="1" applyBorder="1" applyAlignment="1">
      <alignment horizontal="right" vertical="center"/>
    </xf>
    <xf numFmtId="0" fontId="10" fillId="0" borderId="5" xfId="0" applyFont="1" applyBorder="1" applyAlignment="1">
      <alignment horizontal="right"/>
    </xf>
    <xf numFmtId="0" fontId="10" fillId="0" borderId="1" xfId="0" applyFont="1" applyBorder="1" applyAlignment="1">
      <alignment horizontal="right"/>
    </xf>
    <xf numFmtId="2" fontId="10" fillId="0" borderId="1" xfId="0" applyNumberFormat="1" applyFont="1" applyBorder="1" applyAlignment="1">
      <alignment horizontal="right"/>
    </xf>
    <xf numFmtId="4" fontId="10" fillId="4" borderId="8" xfId="0" applyNumberFormat="1" applyFont="1" applyFill="1" applyBorder="1" applyAlignment="1">
      <alignment horizontal="right" vertical="center"/>
    </xf>
    <xf numFmtId="0" fontId="10" fillId="4" borderId="5" xfId="0" applyFont="1" applyFill="1" applyBorder="1" applyAlignment="1">
      <alignment horizontal="right"/>
    </xf>
    <xf numFmtId="0" fontId="10" fillId="4" borderId="1" xfId="0" applyFont="1" applyFill="1" applyBorder="1" applyAlignment="1">
      <alignment horizontal="right"/>
    </xf>
    <xf numFmtId="4" fontId="10" fillId="4" borderId="9" xfId="0" applyNumberFormat="1" applyFont="1" applyFill="1" applyBorder="1" applyAlignment="1">
      <alignment horizontal="right" vertical="center"/>
    </xf>
    <xf numFmtId="0" fontId="10" fillId="0" borderId="1" xfId="0" applyFont="1" applyBorder="1" applyAlignment="1">
      <alignment horizontal="left" vertical="center"/>
    </xf>
    <xf numFmtId="2" fontId="3" fillId="0" borderId="0" xfId="0" applyNumberFormat="1" applyFont="1"/>
    <xf numFmtId="0" fontId="3" fillId="0" borderId="1" xfId="0" applyFont="1" applyBorder="1" applyAlignment="1">
      <alignment horizontal="left" vertical="center" wrapText="1"/>
    </xf>
    <xf numFmtId="0" fontId="3" fillId="0" borderId="0" xfId="0" applyFont="1" applyAlignment="1">
      <alignment horizontal="right"/>
    </xf>
    <xf numFmtId="0" fontId="5" fillId="5" borderId="1"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3" fillId="5" borderId="1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0" borderId="0" xfId="0" applyFont="1" applyAlignment="1">
      <alignment horizontal="center"/>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8" fillId="0" borderId="0" xfId="0" applyFont="1" applyAlignment="1">
      <alignment horizontal="right" vertical="center"/>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right" vertical="center"/>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left"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2" borderId="3" xfId="0" applyFont="1" applyFill="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2" fontId="3" fillId="0" borderId="6" xfId="0" applyNumberFormat="1" applyFont="1" applyBorder="1" applyAlignment="1">
      <alignment horizontal="left" vertical="center" wrapText="1"/>
    </xf>
    <xf numFmtId="2" fontId="3" fillId="0" borderId="8" xfId="0" applyNumberFormat="1" applyFont="1" applyBorder="1" applyAlignment="1">
      <alignment horizontal="left" vertical="center" wrapText="1"/>
    </xf>
    <xf numFmtId="2" fontId="5" fillId="0" borderId="6" xfId="0" applyNumberFormat="1" applyFont="1" applyBorder="1" applyAlignment="1">
      <alignment horizontal="left" vertical="center" wrapText="1"/>
    </xf>
    <xf numFmtId="2" fontId="5" fillId="0" borderId="8" xfId="0" applyNumberFormat="1" applyFont="1" applyBorder="1" applyAlignment="1">
      <alignment horizontal="left" vertical="center" wrapText="1"/>
    </xf>
    <xf numFmtId="0" fontId="5" fillId="0" borderId="0" xfId="0" applyFont="1" applyAlignment="1">
      <alignment horizontal="center" wrapText="1"/>
    </xf>
    <xf numFmtId="0" fontId="8" fillId="0" borderId="0" xfId="0" applyFont="1" applyAlignment="1">
      <alignment horizontal="right" vertical="center" shrinkToFi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4" fillId="0" borderId="0" xfId="0" applyFont="1" applyAlignment="1">
      <alignment horizontal="right"/>
    </xf>
    <xf numFmtId="0" fontId="10" fillId="0" borderId="0" xfId="0" applyFont="1" applyAlignment="1">
      <alignment horizontal="left" vertical="center" wrapText="1"/>
    </xf>
    <xf numFmtId="0" fontId="10" fillId="0" borderId="0" xfId="0" applyFont="1" applyAlignment="1">
      <alignment horizontal="left" vertical="center"/>
    </xf>
    <xf numFmtId="4" fontId="10" fillId="0" borderId="2" xfId="0" applyNumberFormat="1" applyFont="1" applyBorder="1" applyAlignment="1">
      <alignment horizontal="center" vertical="center"/>
    </xf>
    <xf numFmtId="4" fontId="10" fillId="0" borderId="10"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3" fontId="10" fillId="0" borderId="1" xfId="0" applyNumberFormat="1" applyFont="1" applyBorder="1" applyAlignment="1">
      <alignment horizontal="center" vertical="center"/>
    </xf>
    <xf numFmtId="0" fontId="10" fillId="0" borderId="6" xfId="0" applyFont="1" applyBorder="1" applyAlignment="1">
      <alignment horizontal="justify" vertical="center" wrapText="1"/>
    </xf>
    <xf numFmtId="0" fontId="10" fillId="0" borderId="8" xfId="0" applyFont="1" applyBorder="1" applyAlignment="1">
      <alignment vertical="center" wrapText="1"/>
    </xf>
    <xf numFmtId="0" fontId="3"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xf>
    <xf numFmtId="2" fontId="3" fillId="0" borderId="1" xfId="1" applyNumberFormat="1" applyFont="1" applyFill="1" applyBorder="1" applyAlignment="1">
      <alignment horizontal="right" vertical="center"/>
    </xf>
    <xf numFmtId="0" fontId="10" fillId="0" borderId="1" xfId="0" applyFont="1" applyFill="1" applyBorder="1" applyAlignment="1">
      <alignment horizontal="left" wrapText="1"/>
    </xf>
    <xf numFmtId="0" fontId="10"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4" fontId="10" fillId="0" borderId="13" xfId="0" applyNumberFormat="1" applyFont="1" applyFill="1" applyBorder="1" applyAlignment="1">
      <alignment horizontal="center" vertical="center"/>
    </xf>
    <xf numFmtId="0" fontId="10"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1" xfId="1" applyNumberFormat="1" applyFont="1" applyFill="1" applyBorder="1" applyAlignment="1">
      <alignment horizontal="right" vertical="center"/>
    </xf>
    <xf numFmtId="0" fontId="10" fillId="0" borderId="13" xfId="0" applyFont="1" applyFill="1" applyBorder="1" applyAlignment="1">
      <alignment horizontal="center" vertical="center" wrapText="1"/>
    </xf>
    <xf numFmtId="0" fontId="10" fillId="0" borderId="13" xfId="0" applyFont="1" applyFill="1" applyBorder="1" applyAlignment="1">
      <alignment horizontal="center" vertical="center"/>
    </xf>
    <xf numFmtId="2" fontId="10" fillId="0" borderId="13" xfId="0" applyNumberFormat="1"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10" fillId="0" borderId="1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9" fontId="11" fillId="3" borderId="6" xfId="1" applyFont="1" applyFill="1" applyBorder="1" applyAlignment="1">
      <alignment horizontal="center" vertical="center"/>
    </xf>
    <xf numFmtId="9" fontId="11" fillId="3" borderId="9" xfId="1" applyFont="1" applyFill="1" applyBorder="1" applyAlignment="1">
      <alignment horizontal="center" vertical="center"/>
    </xf>
    <xf numFmtId="9" fontId="11" fillId="3" borderId="8" xfId="1" applyFont="1" applyFill="1" applyBorder="1" applyAlignment="1">
      <alignment horizontal="center" vertical="center"/>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0" fontId="10" fillId="0" borderId="23" xfId="0" applyFont="1" applyBorder="1" applyAlignment="1">
      <alignment horizontal="left" vertical="center" wrapText="1"/>
    </xf>
    <xf numFmtId="0" fontId="10" fillId="2" borderId="6"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3" fillId="0" borderId="0" xfId="0" applyFont="1" applyFill="1" applyAlignment="1">
      <alignment horizontal="left"/>
    </xf>
    <xf numFmtId="165" fontId="10" fillId="0" borderId="2" xfId="0" applyNumberFormat="1" applyFont="1" applyFill="1" applyBorder="1" applyAlignment="1">
      <alignment horizontal="center" vertical="center"/>
    </xf>
    <xf numFmtId="165" fontId="10" fillId="0" borderId="13" xfId="0" applyNumberFormat="1" applyFont="1" applyFill="1" applyBorder="1" applyAlignment="1">
      <alignment horizontal="center" vertical="center"/>
    </xf>
    <xf numFmtId="165" fontId="10" fillId="0" borderId="10"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4" fontId="11" fillId="3" borderId="6" xfId="0" applyNumberFormat="1" applyFont="1" applyFill="1" applyBorder="1" applyAlignment="1">
      <alignment horizontal="center"/>
    </xf>
    <xf numFmtId="4" fontId="11" fillId="3" borderId="8" xfId="0" applyNumberFormat="1" applyFont="1" applyFill="1" applyBorder="1" applyAlignment="1">
      <alignment horizontal="center"/>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10" fillId="0" borderId="0" xfId="0"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FF99"/>
      <color rgb="FF33F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uma Lazdiņa" id="{036C5782-C293-4200-A2D3-1C160250F795}" userId="S::lauma.lazdina@fm.gov.lv::b4f9f0bc-3123-4e03-8258-06bf965f37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6" dT="2022-08-18T14:04:50.82" personId="{036C5782-C293-4200-A2D3-1C160250F795}" id="{12C93446-5399-432B-BFCB-FF55147CFD74}">
    <text>Atbilstoši mēnešalgu skalu salīdzinājumam 10.mēnešalgu grupai viduspunkts noteikts 1859 EUR apmērā. Lūdzam precizēt te un aprēķinos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zoomScale="90" zoomScaleNormal="90" workbookViewId="0">
      <selection sqref="A1:B1"/>
    </sheetView>
  </sheetViews>
  <sheetFormatPr defaultColWidth="9.1796875" defaultRowHeight="14" x14ac:dyDescent="0.3"/>
  <cols>
    <col min="1" max="1" width="13" style="55" customWidth="1"/>
    <col min="2" max="2" width="70.26953125" style="55" customWidth="1"/>
    <col min="3" max="16384" width="9.1796875" style="55"/>
  </cols>
  <sheetData>
    <row r="1" spans="1:2" x14ac:dyDescent="0.3">
      <c r="A1" s="91" t="s">
        <v>0</v>
      </c>
      <c r="B1" s="91"/>
    </row>
    <row r="2" spans="1:2" x14ac:dyDescent="0.3">
      <c r="A2" s="88" t="s">
        <v>1</v>
      </c>
      <c r="B2" s="88"/>
    </row>
    <row r="3" spans="1:2" ht="28" x14ac:dyDescent="0.3">
      <c r="A3" s="79" t="s">
        <v>2</v>
      </c>
      <c r="B3" s="3" t="s">
        <v>3</v>
      </c>
    </row>
    <row r="4" spans="1:2" ht="181.5" customHeight="1" x14ac:dyDescent="0.3">
      <c r="A4" s="79" t="s">
        <v>4</v>
      </c>
      <c r="B4" s="43" t="s">
        <v>5</v>
      </c>
    </row>
    <row r="5" spans="1:2" ht="28" x14ac:dyDescent="0.3">
      <c r="A5" s="89" t="s">
        <v>6</v>
      </c>
      <c r="B5" s="3" t="s">
        <v>7</v>
      </c>
    </row>
    <row r="6" spans="1:2" ht="42" x14ac:dyDescent="0.3">
      <c r="A6" s="90"/>
      <c r="B6" s="3" t="s">
        <v>8</v>
      </c>
    </row>
  </sheetData>
  <mergeCells count="3">
    <mergeCell ref="A2:B2"/>
    <mergeCell ref="A5:A6"/>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abSelected="1" zoomScale="65" zoomScaleNormal="65" workbookViewId="0">
      <selection sqref="A1:G1"/>
    </sheetView>
  </sheetViews>
  <sheetFormatPr defaultColWidth="9.1796875" defaultRowHeight="14" x14ac:dyDescent="0.3"/>
  <cols>
    <col min="1" max="1" width="31.7265625" style="38" customWidth="1"/>
    <col min="2" max="2" width="9.1796875" style="38"/>
    <col min="3" max="3" width="10.1796875" style="38" bestFit="1" customWidth="1"/>
    <col min="4" max="4" width="10.7265625" style="38" customWidth="1"/>
    <col min="5" max="5" width="36.81640625" style="38" customWidth="1"/>
    <col min="6" max="6" width="76.453125" style="38" customWidth="1"/>
    <col min="7" max="7" width="53.453125" style="38" customWidth="1"/>
    <col min="8" max="16384" width="9.1796875" style="38"/>
  </cols>
  <sheetData>
    <row r="1" spans="1:10" x14ac:dyDescent="0.3">
      <c r="A1" s="91" t="s">
        <v>9</v>
      </c>
      <c r="B1" s="91"/>
      <c r="C1" s="91"/>
      <c r="D1" s="91"/>
      <c r="E1" s="91"/>
      <c r="F1" s="91"/>
      <c r="G1" s="91"/>
      <c r="H1" s="80"/>
      <c r="I1" s="2"/>
      <c r="J1" s="2"/>
    </row>
    <row r="2" spans="1:10" x14ac:dyDescent="0.3">
      <c r="A2" s="92" t="s">
        <v>10</v>
      </c>
      <c r="B2" s="92"/>
      <c r="C2" s="92"/>
      <c r="D2" s="92"/>
      <c r="E2" s="92"/>
      <c r="F2" s="92"/>
      <c r="G2" s="92"/>
      <c r="H2" s="2"/>
      <c r="I2" s="2"/>
      <c r="J2" s="2"/>
    </row>
    <row r="3" spans="1:10" ht="42" x14ac:dyDescent="0.3">
      <c r="A3" s="86"/>
      <c r="B3" s="85" t="s">
        <v>11</v>
      </c>
      <c r="C3" s="85" t="s">
        <v>12</v>
      </c>
      <c r="D3" s="81"/>
      <c r="E3" s="85" t="s">
        <v>13</v>
      </c>
      <c r="F3" s="84" t="s">
        <v>14</v>
      </c>
      <c r="G3" s="84" t="s">
        <v>15</v>
      </c>
      <c r="H3" s="2"/>
      <c r="I3" s="2"/>
      <c r="J3" s="2"/>
    </row>
    <row r="4" spans="1:10" x14ac:dyDescent="0.3">
      <c r="A4" s="39" t="s">
        <v>16</v>
      </c>
      <c r="B4" s="39">
        <f>SUM(B14:B47)</f>
        <v>2.2000000000000002</v>
      </c>
      <c r="C4" s="40">
        <f>C5+C14+C23+C32+C40</f>
        <v>17.459999999999997</v>
      </c>
      <c r="D4" s="41"/>
      <c r="E4" s="39"/>
      <c r="F4" s="87" t="s">
        <v>144</v>
      </c>
      <c r="G4" s="42"/>
      <c r="H4" s="2"/>
      <c r="I4" s="2"/>
      <c r="J4" s="2"/>
    </row>
    <row r="5" spans="1:10" s="2" customFormat="1" ht="17.5" customHeight="1" x14ac:dyDescent="0.3">
      <c r="A5" s="128" t="s">
        <v>17</v>
      </c>
      <c r="B5" s="128">
        <v>1</v>
      </c>
      <c r="C5" s="129">
        <f>D13</f>
        <v>5.42</v>
      </c>
      <c r="D5" s="130">
        <v>1005</v>
      </c>
      <c r="E5" s="131" t="s">
        <v>18</v>
      </c>
      <c r="F5" s="132" t="s">
        <v>19</v>
      </c>
      <c r="G5" s="133" t="s">
        <v>20</v>
      </c>
      <c r="H5" s="78"/>
      <c r="I5" s="78"/>
    </row>
    <row r="6" spans="1:10" s="2" customFormat="1" ht="17.5" customHeight="1" x14ac:dyDescent="0.3">
      <c r="A6" s="134"/>
      <c r="B6" s="134"/>
      <c r="C6" s="135"/>
      <c r="D6" s="130">
        <f>ROUND(D5*25%,2)</f>
        <v>251.25</v>
      </c>
      <c r="E6" s="131" t="s">
        <v>21</v>
      </c>
      <c r="F6" s="136"/>
      <c r="G6" s="137"/>
      <c r="H6" s="78"/>
      <c r="I6" s="78"/>
    </row>
    <row r="7" spans="1:10" s="2" customFormat="1" ht="17.5" customHeight="1" x14ac:dyDescent="0.3">
      <c r="A7" s="134"/>
      <c r="B7" s="134"/>
      <c r="C7" s="135"/>
      <c r="D7" s="130">
        <f>SUM(D5:D6)</f>
        <v>1256.25</v>
      </c>
      <c r="E7" s="131" t="s">
        <v>22</v>
      </c>
      <c r="F7" s="136"/>
      <c r="G7" s="137"/>
      <c r="H7" s="78"/>
      <c r="I7" s="78"/>
    </row>
    <row r="8" spans="1:10" s="2" customFormat="1" ht="17.5" customHeight="1" x14ac:dyDescent="0.3">
      <c r="A8" s="134"/>
      <c r="B8" s="134"/>
      <c r="C8" s="135"/>
      <c r="D8" s="130">
        <f>ROUND(D7*23.59%,2)</f>
        <v>296.35000000000002</v>
      </c>
      <c r="E8" s="131" t="s">
        <v>23</v>
      </c>
      <c r="F8" s="136"/>
      <c r="G8" s="137"/>
      <c r="H8" s="78"/>
      <c r="I8" s="78"/>
    </row>
    <row r="9" spans="1:10" s="2" customFormat="1" ht="17.5" customHeight="1" x14ac:dyDescent="0.3">
      <c r="A9" s="134"/>
      <c r="B9" s="134"/>
      <c r="C9" s="135"/>
      <c r="D9" s="130">
        <f>SUM(D7:D8)</f>
        <v>1552.6</v>
      </c>
      <c r="E9" s="131" t="s">
        <v>24</v>
      </c>
      <c r="F9" s="136"/>
      <c r="G9" s="137"/>
      <c r="H9" s="78"/>
      <c r="I9" s="78"/>
    </row>
    <row r="10" spans="1:10" s="2" customFormat="1" ht="17.5" customHeight="1" x14ac:dyDescent="0.3">
      <c r="A10" s="134"/>
      <c r="B10" s="134"/>
      <c r="C10" s="135"/>
      <c r="D10" s="130">
        <f>D9*12</f>
        <v>18631.199999999997</v>
      </c>
      <c r="E10" s="138" t="s">
        <v>25</v>
      </c>
      <c r="F10" s="136"/>
      <c r="G10" s="137"/>
      <c r="H10" s="78"/>
      <c r="I10" s="78"/>
    </row>
    <row r="11" spans="1:10" s="2" customFormat="1" ht="17.5" customHeight="1" x14ac:dyDescent="0.3">
      <c r="A11" s="134"/>
      <c r="B11" s="134"/>
      <c r="C11" s="135"/>
      <c r="D11" s="130">
        <f>ROUND(D10/1720,2)</f>
        <v>10.83</v>
      </c>
      <c r="E11" s="138" t="s">
        <v>39</v>
      </c>
      <c r="F11" s="136"/>
      <c r="G11" s="137"/>
      <c r="H11" s="78"/>
      <c r="I11" s="78"/>
    </row>
    <row r="12" spans="1:10" s="2" customFormat="1" ht="17.5" customHeight="1" x14ac:dyDescent="0.3">
      <c r="A12" s="134"/>
      <c r="B12" s="134"/>
      <c r="C12" s="135"/>
      <c r="D12" s="130">
        <f>ROUND(D11*8,2)</f>
        <v>86.64</v>
      </c>
      <c r="E12" s="138" t="s">
        <v>140</v>
      </c>
      <c r="F12" s="136"/>
      <c r="G12" s="137"/>
      <c r="H12" s="78"/>
      <c r="I12" s="78"/>
    </row>
    <row r="13" spans="1:10" s="2" customFormat="1" ht="41.5" customHeight="1" x14ac:dyDescent="0.3">
      <c r="A13" s="134"/>
      <c r="B13" s="134"/>
      <c r="C13" s="135"/>
      <c r="D13" s="130">
        <f>ROUND(D12/16,2)</f>
        <v>5.42</v>
      </c>
      <c r="E13" s="138" t="s">
        <v>141</v>
      </c>
      <c r="F13" s="136"/>
      <c r="G13" s="137"/>
      <c r="H13" s="78"/>
      <c r="I13" s="78"/>
    </row>
    <row r="14" spans="1:10" s="2" customFormat="1" ht="17.5" customHeight="1" x14ac:dyDescent="0.3">
      <c r="A14" s="139" t="s">
        <v>27</v>
      </c>
      <c r="B14" s="140">
        <v>1</v>
      </c>
      <c r="C14" s="141">
        <f>D22</f>
        <v>2.71</v>
      </c>
      <c r="D14" s="142">
        <v>1005</v>
      </c>
      <c r="E14" s="131" t="s">
        <v>18</v>
      </c>
      <c r="F14" s="132" t="s">
        <v>28</v>
      </c>
      <c r="G14" s="133" t="s">
        <v>29</v>
      </c>
      <c r="H14" s="78"/>
      <c r="I14" s="78"/>
      <c r="J14" s="78"/>
    </row>
    <row r="15" spans="1:10" s="2" customFormat="1" ht="17.5" customHeight="1" x14ac:dyDescent="0.3">
      <c r="A15" s="143"/>
      <c r="B15" s="144"/>
      <c r="C15" s="145"/>
      <c r="D15" s="142">
        <f>ROUND(D14*25%,2)</f>
        <v>251.25</v>
      </c>
      <c r="E15" s="131" t="s">
        <v>21</v>
      </c>
      <c r="F15" s="136"/>
      <c r="G15" s="137"/>
      <c r="H15" s="78"/>
      <c r="I15" s="78"/>
      <c r="J15" s="78"/>
    </row>
    <row r="16" spans="1:10" s="2" customFormat="1" ht="17.5" customHeight="1" x14ac:dyDescent="0.3">
      <c r="A16" s="143"/>
      <c r="B16" s="144"/>
      <c r="C16" s="145"/>
      <c r="D16" s="142">
        <f>SUM(D14:D15)</f>
        <v>1256.25</v>
      </c>
      <c r="E16" s="131" t="s">
        <v>22</v>
      </c>
      <c r="F16" s="136"/>
      <c r="G16" s="137"/>
      <c r="H16" s="78"/>
      <c r="I16" s="78"/>
      <c r="J16" s="78"/>
    </row>
    <row r="17" spans="1:10" s="2" customFormat="1" ht="17.5" customHeight="1" x14ac:dyDescent="0.3">
      <c r="A17" s="143"/>
      <c r="B17" s="144"/>
      <c r="C17" s="145"/>
      <c r="D17" s="142">
        <f>ROUND(D16*23.59%,2)</f>
        <v>296.35000000000002</v>
      </c>
      <c r="E17" s="131" t="s">
        <v>23</v>
      </c>
      <c r="F17" s="136"/>
      <c r="G17" s="137"/>
      <c r="H17" s="78"/>
      <c r="I17" s="78"/>
      <c r="J17" s="78"/>
    </row>
    <row r="18" spans="1:10" s="2" customFormat="1" ht="17.5" customHeight="1" x14ac:dyDescent="0.3">
      <c r="A18" s="143"/>
      <c r="B18" s="144"/>
      <c r="C18" s="145"/>
      <c r="D18" s="142">
        <f>SUM(D16:D17)</f>
        <v>1552.6</v>
      </c>
      <c r="E18" s="131" t="s">
        <v>24</v>
      </c>
      <c r="F18" s="136"/>
      <c r="G18" s="137"/>
      <c r="H18" s="78"/>
      <c r="I18" s="78"/>
      <c r="J18" s="78"/>
    </row>
    <row r="19" spans="1:10" s="2" customFormat="1" ht="17.5" customHeight="1" x14ac:dyDescent="0.3">
      <c r="A19" s="143"/>
      <c r="B19" s="144"/>
      <c r="C19" s="145"/>
      <c r="D19" s="142">
        <f>ROUND(D18*12,2)</f>
        <v>18631.2</v>
      </c>
      <c r="E19" s="138" t="s">
        <v>25</v>
      </c>
      <c r="F19" s="136"/>
      <c r="G19" s="137"/>
      <c r="H19" s="78"/>
      <c r="I19" s="78"/>
      <c r="J19" s="78"/>
    </row>
    <row r="20" spans="1:10" s="2" customFormat="1" ht="17.5" customHeight="1" x14ac:dyDescent="0.3">
      <c r="A20" s="143"/>
      <c r="B20" s="144"/>
      <c r="C20" s="145"/>
      <c r="D20" s="142">
        <f>ROUND(D19/1720,2)</f>
        <v>10.83</v>
      </c>
      <c r="E20" s="138" t="s">
        <v>30</v>
      </c>
      <c r="F20" s="136"/>
      <c r="G20" s="137"/>
      <c r="H20" s="78"/>
      <c r="I20" s="78"/>
      <c r="J20" s="78"/>
    </row>
    <row r="21" spans="1:10" s="2" customFormat="1" ht="17.5" customHeight="1" x14ac:dyDescent="0.3">
      <c r="A21" s="143"/>
      <c r="B21" s="144"/>
      <c r="C21" s="145"/>
      <c r="D21" s="142">
        <f>ROUND(D20*4,2)</f>
        <v>43.32</v>
      </c>
      <c r="E21" s="138" t="s">
        <v>31</v>
      </c>
      <c r="F21" s="136"/>
      <c r="G21" s="137"/>
      <c r="H21" s="78"/>
      <c r="I21" s="78"/>
      <c r="J21" s="78"/>
    </row>
    <row r="22" spans="1:10" s="2" customFormat="1" ht="26" customHeight="1" x14ac:dyDescent="0.3">
      <c r="A22" s="146"/>
      <c r="B22" s="147"/>
      <c r="C22" s="148"/>
      <c r="D22" s="142">
        <f>ROUND(D21/16,2)</f>
        <v>2.71</v>
      </c>
      <c r="E22" s="138" t="s">
        <v>32</v>
      </c>
      <c r="F22" s="149"/>
      <c r="G22" s="150"/>
      <c r="H22" s="78"/>
      <c r="I22" s="78"/>
      <c r="J22" s="78"/>
    </row>
    <row r="23" spans="1:10" s="2" customFormat="1" ht="17.5" customHeight="1" x14ac:dyDescent="0.3">
      <c r="A23" s="128" t="s">
        <v>33</v>
      </c>
      <c r="B23" s="151">
        <v>0.5</v>
      </c>
      <c r="C23" s="141">
        <f>D31</f>
        <v>4.1399999999999997</v>
      </c>
      <c r="D23" s="142">
        <v>1537</v>
      </c>
      <c r="E23" s="131" t="s">
        <v>18</v>
      </c>
      <c r="F23" s="132" t="s">
        <v>34</v>
      </c>
      <c r="G23" s="133" t="s">
        <v>35</v>
      </c>
      <c r="H23" s="78"/>
      <c r="I23" s="78"/>
    </row>
    <row r="24" spans="1:10" s="2" customFormat="1" ht="17.5" customHeight="1" x14ac:dyDescent="0.3">
      <c r="A24" s="134"/>
      <c r="B24" s="152"/>
      <c r="C24" s="145"/>
      <c r="D24" s="142">
        <f>ROUND(D23*25%,2)</f>
        <v>384.25</v>
      </c>
      <c r="E24" s="131" t="s">
        <v>21</v>
      </c>
      <c r="F24" s="136"/>
      <c r="G24" s="137"/>
      <c r="H24" s="78"/>
      <c r="I24" s="78"/>
    </row>
    <row r="25" spans="1:10" s="2" customFormat="1" ht="17.5" customHeight="1" x14ac:dyDescent="0.3">
      <c r="A25" s="134"/>
      <c r="B25" s="152"/>
      <c r="C25" s="145"/>
      <c r="D25" s="142">
        <f>SUM(D23:D24)</f>
        <v>1921.25</v>
      </c>
      <c r="E25" s="131" t="s">
        <v>22</v>
      </c>
      <c r="F25" s="136"/>
      <c r="G25" s="137"/>
      <c r="H25" s="78"/>
      <c r="I25" s="78"/>
    </row>
    <row r="26" spans="1:10" s="2" customFormat="1" ht="17.5" customHeight="1" x14ac:dyDescent="0.3">
      <c r="A26" s="134"/>
      <c r="B26" s="152"/>
      <c r="C26" s="145"/>
      <c r="D26" s="142">
        <f>ROUND(D25*23.59%,2)</f>
        <v>453.22</v>
      </c>
      <c r="E26" s="131" t="s">
        <v>23</v>
      </c>
      <c r="F26" s="136"/>
      <c r="G26" s="137"/>
      <c r="H26" s="78"/>
      <c r="I26" s="78"/>
    </row>
    <row r="27" spans="1:10" s="2" customFormat="1" ht="17.5" customHeight="1" x14ac:dyDescent="0.3">
      <c r="A27" s="134"/>
      <c r="B27" s="152"/>
      <c r="C27" s="145"/>
      <c r="D27" s="142">
        <f>SUM(D25:D26)</f>
        <v>2374.4700000000003</v>
      </c>
      <c r="E27" s="131" t="s">
        <v>24</v>
      </c>
      <c r="F27" s="136"/>
      <c r="G27" s="137"/>
      <c r="H27" s="78"/>
      <c r="I27" s="78"/>
    </row>
    <row r="28" spans="1:10" s="2" customFormat="1" ht="17.5" customHeight="1" x14ac:dyDescent="0.3">
      <c r="A28" s="134"/>
      <c r="B28" s="152"/>
      <c r="C28" s="145"/>
      <c r="D28" s="142">
        <f>D27*12</f>
        <v>28493.640000000003</v>
      </c>
      <c r="E28" s="138" t="s">
        <v>25</v>
      </c>
      <c r="F28" s="136"/>
      <c r="G28" s="137"/>
      <c r="H28" s="78"/>
      <c r="I28" s="78"/>
    </row>
    <row r="29" spans="1:10" s="2" customFormat="1" ht="17.5" customHeight="1" x14ac:dyDescent="0.3">
      <c r="A29" s="134"/>
      <c r="B29" s="152"/>
      <c r="C29" s="145"/>
      <c r="D29" s="142">
        <f>ROUND(D28/1720,2)</f>
        <v>16.57</v>
      </c>
      <c r="E29" s="138" t="s">
        <v>30</v>
      </c>
      <c r="F29" s="136"/>
      <c r="G29" s="137"/>
      <c r="H29" s="78"/>
      <c r="I29" s="78"/>
    </row>
    <row r="30" spans="1:10" s="2" customFormat="1" ht="17.5" customHeight="1" x14ac:dyDescent="0.3">
      <c r="A30" s="134"/>
      <c r="B30" s="152"/>
      <c r="C30" s="145"/>
      <c r="D30" s="142">
        <f>D29*4</f>
        <v>66.28</v>
      </c>
      <c r="E30" s="138" t="s">
        <v>142</v>
      </c>
      <c r="F30" s="136"/>
      <c r="G30" s="137"/>
      <c r="H30" s="78"/>
      <c r="I30" s="78"/>
    </row>
    <row r="31" spans="1:10" s="2" customFormat="1" ht="22" customHeight="1" x14ac:dyDescent="0.3">
      <c r="A31" s="134"/>
      <c r="B31" s="152"/>
      <c r="C31" s="145"/>
      <c r="D31" s="142">
        <f>ROUND(D30/16,2)</f>
        <v>4.1399999999999997</v>
      </c>
      <c r="E31" s="138" t="s">
        <v>143</v>
      </c>
      <c r="F31" s="136"/>
      <c r="G31" s="137"/>
      <c r="H31" s="78"/>
      <c r="I31" s="78"/>
    </row>
    <row r="32" spans="1:10" s="2" customFormat="1" x14ac:dyDescent="0.3">
      <c r="A32" s="128" t="s">
        <v>36</v>
      </c>
      <c r="B32" s="151">
        <v>0.5</v>
      </c>
      <c r="C32" s="141">
        <f>D39</f>
        <v>4.0599999999999996</v>
      </c>
      <c r="D32" s="142">
        <v>1859</v>
      </c>
      <c r="E32" s="131" t="s">
        <v>18</v>
      </c>
      <c r="F32" s="132" t="s">
        <v>138</v>
      </c>
      <c r="G32" s="133" t="s">
        <v>37</v>
      </c>
      <c r="H32" s="78"/>
    </row>
    <row r="33" spans="1:10" s="2" customFormat="1" x14ac:dyDescent="0.3">
      <c r="A33" s="134"/>
      <c r="B33" s="152"/>
      <c r="C33" s="145"/>
      <c r="D33" s="142">
        <f>ROUND(D32*25%,2)</f>
        <v>464.75</v>
      </c>
      <c r="E33" s="131" t="s">
        <v>23</v>
      </c>
      <c r="F33" s="136"/>
      <c r="G33" s="137"/>
      <c r="H33" s="78"/>
    </row>
    <row r="34" spans="1:10" s="2" customFormat="1" x14ac:dyDescent="0.3">
      <c r="A34" s="134"/>
      <c r="B34" s="152"/>
      <c r="C34" s="145"/>
      <c r="D34" s="142">
        <f>SUM(D32:D33)</f>
        <v>2323.75</v>
      </c>
      <c r="E34" s="131" t="s">
        <v>24</v>
      </c>
      <c r="F34" s="136"/>
      <c r="G34" s="137"/>
      <c r="H34" s="78"/>
    </row>
    <row r="35" spans="1:10" s="2" customFormat="1" x14ac:dyDescent="0.3">
      <c r="A35" s="134"/>
      <c r="B35" s="152"/>
      <c r="C35" s="145"/>
      <c r="D35" s="142">
        <f>ROUND(D34*B32,2)</f>
        <v>1161.8800000000001</v>
      </c>
      <c r="E35" s="131" t="s">
        <v>38</v>
      </c>
      <c r="F35" s="136"/>
      <c r="G35" s="137"/>
      <c r="H35" s="78"/>
    </row>
    <row r="36" spans="1:10" s="2" customFormat="1" x14ac:dyDescent="0.3">
      <c r="A36" s="134"/>
      <c r="B36" s="152"/>
      <c r="C36" s="145"/>
      <c r="D36" s="142">
        <f>D35*12</f>
        <v>13942.560000000001</v>
      </c>
      <c r="E36" s="138" t="s">
        <v>25</v>
      </c>
      <c r="F36" s="136"/>
      <c r="G36" s="137"/>
      <c r="H36" s="78"/>
    </row>
    <row r="37" spans="1:10" s="2" customFormat="1" x14ac:dyDescent="0.3">
      <c r="A37" s="134"/>
      <c r="B37" s="152"/>
      <c r="C37" s="145"/>
      <c r="D37" s="142">
        <f>ROUND(D36/1720,2)</f>
        <v>8.11</v>
      </c>
      <c r="E37" s="138" t="s">
        <v>39</v>
      </c>
      <c r="F37" s="136"/>
      <c r="G37" s="137"/>
      <c r="H37" s="78"/>
    </row>
    <row r="38" spans="1:10" s="2" customFormat="1" x14ac:dyDescent="0.3">
      <c r="A38" s="134"/>
      <c r="B38" s="152"/>
      <c r="C38" s="145"/>
      <c r="D38" s="142">
        <f>D37*8</f>
        <v>64.88</v>
      </c>
      <c r="E38" s="138" t="s">
        <v>31</v>
      </c>
      <c r="F38" s="136"/>
      <c r="G38" s="137"/>
      <c r="H38" s="78"/>
    </row>
    <row r="39" spans="1:10" s="2" customFormat="1" x14ac:dyDescent="0.3">
      <c r="A39" s="153"/>
      <c r="B39" s="154"/>
      <c r="C39" s="148"/>
      <c r="D39" s="142">
        <f>ROUND(D38/16,2)</f>
        <v>4.0599999999999996</v>
      </c>
      <c r="E39" s="138" t="s">
        <v>32</v>
      </c>
      <c r="F39" s="149"/>
      <c r="G39" s="150"/>
      <c r="H39" s="78"/>
    </row>
    <row r="40" spans="1:10" s="2" customFormat="1" ht="17.5" customHeight="1" x14ac:dyDescent="0.3">
      <c r="A40" s="128" t="s">
        <v>40</v>
      </c>
      <c r="B40" s="151">
        <v>0.2</v>
      </c>
      <c r="C40" s="141">
        <f>D47</f>
        <v>1.1299999999999999</v>
      </c>
      <c r="D40" s="142">
        <v>1291</v>
      </c>
      <c r="E40" s="131" t="s">
        <v>18</v>
      </c>
      <c r="F40" s="132" t="s">
        <v>41</v>
      </c>
      <c r="G40" s="133" t="s">
        <v>42</v>
      </c>
      <c r="H40" s="78"/>
    </row>
    <row r="41" spans="1:10" s="2" customFormat="1" ht="17.5" customHeight="1" x14ac:dyDescent="0.3">
      <c r="A41" s="134"/>
      <c r="B41" s="152"/>
      <c r="C41" s="145"/>
      <c r="D41" s="142">
        <f>ROUND(D40*25%,2)</f>
        <v>322.75</v>
      </c>
      <c r="E41" s="131" t="s">
        <v>23</v>
      </c>
      <c r="F41" s="136"/>
      <c r="G41" s="137"/>
      <c r="H41" s="78"/>
    </row>
    <row r="42" spans="1:10" s="2" customFormat="1" ht="17.5" customHeight="1" x14ac:dyDescent="0.3">
      <c r="A42" s="134"/>
      <c r="B42" s="152"/>
      <c r="C42" s="145"/>
      <c r="D42" s="142">
        <f>SUM(D40:D41)</f>
        <v>1613.75</v>
      </c>
      <c r="E42" s="131" t="s">
        <v>24</v>
      </c>
      <c r="F42" s="136"/>
      <c r="G42" s="137"/>
      <c r="H42" s="78"/>
    </row>
    <row r="43" spans="1:10" s="2" customFormat="1" ht="17.5" customHeight="1" x14ac:dyDescent="0.3">
      <c r="A43" s="134"/>
      <c r="B43" s="152"/>
      <c r="C43" s="145"/>
      <c r="D43" s="142">
        <f>ROUND(D42*B40,2)</f>
        <v>322.75</v>
      </c>
      <c r="E43" s="131" t="s">
        <v>43</v>
      </c>
      <c r="F43" s="136"/>
      <c r="G43" s="137"/>
      <c r="H43" s="78"/>
    </row>
    <row r="44" spans="1:10" s="2" customFormat="1" ht="17.5" customHeight="1" x14ac:dyDescent="0.3">
      <c r="A44" s="134"/>
      <c r="B44" s="152"/>
      <c r="C44" s="145"/>
      <c r="D44" s="142">
        <f>D43*12</f>
        <v>3873</v>
      </c>
      <c r="E44" s="138" t="s">
        <v>25</v>
      </c>
      <c r="F44" s="136"/>
      <c r="G44" s="137"/>
      <c r="H44" s="78"/>
    </row>
    <row r="45" spans="1:10" s="2" customFormat="1" ht="17.5" customHeight="1" x14ac:dyDescent="0.3">
      <c r="A45" s="134"/>
      <c r="B45" s="152"/>
      <c r="C45" s="145"/>
      <c r="D45" s="142">
        <f>ROUND(D44/1720,2)</f>
        <v>2.25</v>
      </c>
      <c r="E45" s="138" t="s">
        <v>26</v>
      </c>
      <c r="F45" s="136"/>
      <c r="G45" s="137"/>
      <c r="H45" s="78"/>
    </row>
    <row r="46" spans="1:10" s="2" customFormat="1" ht="17.5" customHeight="1" x14ac:dyDescent="0.3">
      <c r="A46" s="134"/>
      <c r="B46" s="152"/>
      <c r="C46" s="145"/>
      <c r="D46" s="142">
        <f>D45*8</f>
        <v>18</v>
      </c>
      <c r="E46" s="138" t="s">
        <v>31</v>
      </c>
      <c r="F46" s="136"/>
      <c r="G46" s="137"/>
      <c r="H46" s="78"/>
    </row>
    <row r="47" spans="1:10" s="2" customFormat="1" ht="17.5" customHeight="1" x14ac:dyDescent="0.3">
      <c r="A47" s="153"/>
      <c r="B47" s="154"/>
      <c r="C47" s="148"/>
      <c r="D47" s="142">
        <f>ROUND(D46/16,2)</f>
        <v>1.1299999999999999</v>
      </c>
      <c r="E47" s="138" t="s">
        <v>32</v>
      </c>
      <c r="F47" s="149"/>
      <c r="G47" s="150"/>
      <c r="H47" s="78"/>
    </row>
    <row r="48" spans="1:10" ht="56" x14ac:dyDescent="0.3">
      <c r="A48" s="39" t="s">
        <v>44</v>
      </c>
      <c r="B48" s="39" t="s">
        <v>45</v>
      </c>
      <c r="C48" s="40">
        <f>SUM(C49:C61)</f>
        <v>9.74</v>
      </c>
      <c r="D48" s="155"/>
      <c r="E48" s="156"/>
      <c r="F48" s="156"/>
      <c r="G48" s="157"/>
      <c r="H48" s="2"/>
      <c r="I48" s="2"/>
      <c r="J48" s="2"/>
    </row>
    <row r="49" spans="1:10" ht="56" x14ac:dyDescent="0.3">
      <c r="A49" s="43" t="str">
        <f>'4.4. pielikums'!B7</f>
        <v>Ēdināšanas izdevumi</v>
      </c>
      <c r="B49" s="171">
        <v>0.34699999999999998</v>
      </c>
      <c r="C49" s="30">
        <f>ROUND('4.4. pielikums'!W7*(1+B49),2)</f>
        <v>2.2799999999999998</v>
      </c>
      <c r="D49" s="158" t="s">
        <v>46</v>
      </c>
      <c r="E49" s="159"/>
      <c r="F49" s="160"/>
      <c r="G49" s="82" t="s">
        <v>47</v>
      </c>
      <c r="H49" s="2"/>
      <c r="I49" s="2"/>
      <c r="J49" s="2"/>
    </row>
    <row r="50" spans="1:10" ht="30" customHeight="1" x14ac:dyDescent="0.3">
      <c r="A50" s="43" t="str">
        <f>'4.4. pielikums'!B9</f>
        <v>Mācību materiāli un līdzekļi</v>
      </c>
      <c r="B50" s="172"/>
      <c r="C50" s="30">
        <f>ROUND('4.4. pielikums'!W9*(1+B49),2)</f>
        <v>0.34</v>
      </c>
      <c r="D50" s="161"/>
      <c r="E50" s="162"/>
      <c r="F50" s="163"/>
      <c r="G50" s="83" t="s">
        <v>48</v>
      </c>
      <c r="H50" s="2"/>
      <c r="I50" s="2"/>
      <c r="J50" s="2"/>
    </row>
    <row r="51" spans="1:10" x14ac:dyDescent="0.3">
      <c r="A51" s="43" t="str">
        <f>'4.4. pielikums'!B10</f>
        <v>Kancelejas un biroja preces</v>
      </c>
      <c r="B51" s="172"/>
      <c r="C51" s="30">
        <f>ROUND('4.4. pielikums'!W10*(1+B49),2)</f>
        <v>0.09</v>
      </c>
      <c r="D51" s="161"/>
      <c r="E51" s="162"/>
      <c r="F51" s="163"/>
      <c r="G51" s="83"/>
      <c r="H51" s="2"/>
      <c r="I51" s="2"/>
      <c r="J51" s="2"/>
    </row>
    <row r="52" spans="1:10" x14ac:dyDescent="0.3">
      <c r="A52" s="43" t="str">
        <f>'4.4. pielikums'!B8</f>
        <v>Saimniecības un higiēnas preces</v>
      </c>
      <c r="B52" s="172"/>
      <c r="C52" s="30">
        <f>ROUND('4.4. pielikums'!W8*(1+B49),2)</f>
        <v>0.12</v>
      </c>
      <c r="D52" s="161"/>
      <c r="E52" s="162"/>
      <c r="F52" s="163"/>
      <c r="G52" s="83"/>
      <c r="H52" s="2"/>
      <c r="I52" s="2"/>
      <c r="J52" s="2"/>
    </row>
    <row r="53" spans="1:10" ht="28" x14ac:dyDescent="0.3">
      <c r="A53" s="43" t="s">
        <v>49</v>
      </c>
      <c r="B53" s="172"/>
      <c r="C53" s="30">
        <f>ROUND('4.4. pielikums'!W11*(1+B49),2)</f>
        <v>0.34</v>
      </c>
      <c r="D53" s="161"/>
      <c r="E53" s="162"/>
      <c r="F53" s="163"/>
      <c r="G53" s="83"/>
      <c r="H53" s="2"/>
      <c r="I53" s="2"/>
      <c r="J53" s="2"/>
    </row>
    <row r="54" spans="1:10" ht="56" x14ac:dyDescent="0.3">
      <c r="A54" s="43" t="str">
        <f>'4.4. pielikums'!B12</f>
        <v>Telpas (īre, komunālie maksājumi, uzturēšanas pasākumi)</v>
      </c>
      <c r="B54" s="172"/>
      <c r="C54" s="30">
        <f>ROUND('4.4. pielikums'!W12*(1+B49),2)</f>
        <v>3.14</v>
      </c>
      <c r="D54" s="161"/>
      <c r="E54" s="162"/>
      <c r="F54" s="163"/>
      <c r="G54" s="45" t="s">
        <v>50</v>
      </c>
      <c r="H54" s="2"/>
      <c r="I54" s="2"/>
      <c r="J54" s="2"/>
    </row>
    <row r="55" spans="1:10" ht="28" x14ac:dyDescent="0.3">
      <c r="A55" s="43" t="str">
        <f>'4.4. pielikums'!B6</f>
        <v>Sakaru pakalpojumi (telefons, internets, pasts)</v>
      </c>
      <c r="B55" s="172"/>
      <c r="C55" s="30">
        <f>ROUND('4.4. pielikums'!W6*(1+B49),2)</f>
        <v>0.24</v>
      </c>
      <c r="D55" s="161"/>
      <c r="E55" s="162"/>
      <c r="F55" s="163"/>
      <c r="G55" s="83"/>
      <c r="H55" s="2"/>
      <c r="I55" s="2"/>
      <c r="J55" s="2"/>
    </row>
    <row r="56" spans="1:10" ht="42" x14ac:dyDescent="0.3">
      <c r="A56" s="43" t="str">
        <f>'4.4. pielikums'!B15</f>
        <v>Ar admin.darbību saistītie izdevumi (darba aizsardz.sist.uzturēš.pak., bankas konta apkalp. u.c.)</v>
      </c>
      <c r="B56" s="172"/>
      <c r="C56" s="30">
        <f>ROUND('4.4. pielikums'!W15*(1+B49),2)</f>
        <v>0.15</v>
      </c>
      <c r="D56" s="161"/>
      <c r="E56" s="162"/>
      <c r="F56" s="163"/>
      <c r="G56" s="83"/>
      <c r="H56" s="2"/>
      <c r="I56" s="2"/>
      <c r="J56" s="2"/>
    </row>
    <row r="57" spans="1:10" x14ac:dyDescent="0.3">
      <c r="A57" s="43" t="str">
        <f>'4.4. pielikums'!B14</f>
        <v>Darbinieku izglītības izdevumi</v>
      </c>
      <c r="B57" s="172"/>
      <c r="C57" s="30">
        <f>ROUND('4.4. pielikums'!W14*(1+B49),2)</f>
        <v>0.27</v>
      </c>
      <c r="D57" s="161"/>
      <c r="E57" s="162"/>
      <c r="F57" s="163"/>
      <c r="G57" s="83"/>
      <c r="H57" s="2"/>
      <c r="I57" s="2"/>
      <c r="J57" s="2"/>
    </row>
    <row r="58" spans="1:10" ht="28" x14ac:dyDescent="0.3">
      <c r="A58" s="43" t="str">
        <f>'4.4. pielikums'!B17</f>
        <v>Inventārs, iekārtu remonts (materiāli un pakalpojums)</v>
      </c>
      <c r="B58" s="172"/>
      <c r="C58" s="30">
        <f>ROUND('4.4. pielikums'!W17*(1+B49),2)</f>
        <v>0.22</v>
      </c>
      <c r="D58" s="164"/>
      <c r="E58" s="165"/>
      <c r="F58" s="166"/>
      <c r="G58" s="83"/>
      <c r="H58" s="2"/>
      <c r="I58" s="2"/>
      <c r="J58" s="2"/>
    </row>
    <row r="59" spans="1:10" x14ac:dyDescent="0.3">
      <c r="A59" s="43" t="s">
        <v>51</v>
      </c>
      <c r="B59" s="172"/>
      <c r="C59" s="30">
        <f>ROUND('4.5. pielikums'!C12*(1+B49),2)</f>
        <v>1.83</v>
      </c>
      <c r="D59" s="167" t="s">
        <v>52</v>
      </c>
      <c r="E59" s="168"/>
      <c r="F59" s="169"/>
      <c r="G59" s="83"/>
    </row>
    <row r="60" spans="1:10" ht="28" x14ac:dyDescent="0.3">
      <c r="A60" s="44" t="s">
        <v>53</v>
      </c>
      <c r="B60" s="172"/>
      <c r="C60" s="174">
        <f>ROUND('4.3. pielikums'!F10*(1+B49),2)</f>
        <v>0.26</v>
      </c>
      <c r="D60" s="167" t="s">
        <v>54</v>
      </c>
      <c r="E60" s="168"/>
      <c r="F60" s="169"/>
      <c r="G60" s="83"/>
    </row>
    <row r="61" spans="1:10" ht="42.5" customHeight="1" x14ac:dyDescent="0.3">
      <c r="A61" s="44" t="s">
        <v>55</v>
      </c>
      <c r="B61" s="173"/>
      <c r="C61" s="30">
        <f>ROUND('4.6. pielikums'!G6*(1+B49),2)</f>
        <v>0.46</v>
      </c>
      <c r="D61" s="167" t="s">
        <v>56</v>
      </c>
      <c r="E61" s="168"/>
      <c r="F61" s="169"/>
      <c r="G61" s="83"/>
    </row>
    <row r="62" spans="1:10" x14ac:dyDescent="0.3">
      <c r="A62" s="46" t="s">
        <v>57</v>
      </c>
      <c r="B62" s="175">
        <f>C48+C4</f>
        <v>27.199999999999996</v>
      </c>
      <c r="C62" s="176"/>
      <c r="D62"/>
      <c r="E62"/>
      <c r="F62" s="47"/>
      <c r="G62" s="47"/>
    </row>
    <row r="63" spans="1:10" x14ac:dyDescent="0.3">
      <c r="A63" s="2"/>
      <c r="B63" s="2"/>
      <c r="C63" s="78"/>
      <c r="D63" s="2"/>
      <c r="E63" s="2"/>
      <c r="F63" s="2"/>
      <c r="G63" s="2"/>
    </row>
    <row r="64" spans="1:10" x14ac:dyDescent="0.3">
      <c r="A64" s="170" t="s">
        <v>139</v>
      </c>
      <c r="B64" s="170"/>
      <c r="C64" s="170"/>
      <c r="D64" s="170"/>
      <c r="E64" s="170"/>
      <c r="F64" s="170"/>
      <c r="G64" s="170"/>
    </row>
  </sheetData>
  <mergeCells count="35">
    <mergeCell ref="B62:C62"/>
    <mergeCell ref="D48:G48"/>
    <mergeCell ref="D49:F58"/>
    <mergeCell ref="D59:F59"/>
    <mergeCell ref="D60:F60"/>
    <mergeCell ref="D61:F61"/>
    <mergeCell ref="A64:G64"/>
    <mergeCell ref="A1:G1"/>
    <mergeCell ref="A2:G2"/>
    <mergeCell ref="B49:B61"/>
    <mergeCell ref="A5:A13"/>
    <mergeCell ref="B5:B13"/>
    <mergeCell ref="C5:C13"/>
    <mergeCell ref="F5:F13"/>
    <mergeCell ref="A23:A31"/>
    <mergeCell ref="G5:G13"/>
    <mergeCell ref="A14:A22"/>
    <mergeCell ref="B14:B22"/>
    <mergeCell ref="C14:C22"/>
    <mergeCell ref="F14:F22"/>
    <mergeCell ref="G14:G22"/>
    <mergeCell ref="B23:B31"/>
    <mergeCell ref="C23:C31"/>
    <mergeCell ref="F23:F31"/>
    <mergeCell ref="G23:G31"/>
    <mergeCell ref="A32:A39"/>
    <mergeCell ref="B32:B39"/>
    <mergeCell ref="C32:C39"/>
    <mergeCell ref="F32:F39"/>
    <mergeCell ref="G32:G39"/>
    <mergeCell ref="A40:A47"/>
    <mergeCell ref="B40:B47"/>
    <mergeCell ref="C40:C47"/>
    <mergeCell ref="F40:F47"/>
    <mergeCell ref="G40:G47"/>
  </mergeCells>
  <pageMargins left="0.70866141732283472" right="0.70866141732283472" top="0.74803149606299213" bottom="0.74803149606299213"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
  <sheetViews>
    <sheetView zoomScale="90" zoomScaleNormal="90" workbookViewId="0">
      <selection sqref="A1:F1"/>
    </sheetView>
  </sheetViews>
  <sheetFormatPr defaultColWidth="9.1796875" defaultRowHeight="14" x14ac:dyDescent="0.3"/>
  <cols>
    <col min="1" max="1" width="33.81640625" style="4" customWidth="1"/>
    <col min="2" max="2" width="14.453125" style="4" customWidth="1"/>
    <col min="3" max="3" width="12.26953125" style="4" customWidth="1"/>
    <col min="4" max="4" width="14.7265625" style="4" customWidth="1"/>
    <col min="5" max="5" width="14.453125" style="4" customWidth="1"/>
    <col min="6" max="6" width="23.1796875" style="4" customWidth="1"/>
    <col min="7" max="16384" width="9.1796875" style="4"/>
  </cols>
  <sheetData>
    <row r="1" spans="1:6" x14ac:dyDescent="0.3">
      <c r="A1" s="94" t="s">
        <v>58</v>
      </c>
      <c r="B1" s="94"/>
      <c r="C1" s="94"/>
      <c r="D1" s="94"/>
      <c r="E1" s="94"/>
      <c r="F1" s="94"/>
    </row>
    <row r="2" spans="1:6" x14ac:dyDescent="0.3">
      <c r="A2" s="93" t="s">
        <v>59</v>
      </c>
      <c r="B2" s="93"/>
      <c r="C2" s="93"/>
      <c r="D2" s="93"/>
      <c r="E2" s="93"/>
      <c r="F2" s="93"/>
    </row>
    <row r="3" spans="1:6" ht="70" x14ac:dyDescent="0.3">
      <c r="A3" s="53" t="s">
        <v>60</v>
      </c>
      <c r="B3" s="51" t="s">
        <v>61</v>
      </c>
      <c r="C3" s="51" t="s">
        <v>62</v>
      </c>
      <c r="D3" s="51" t="s">
        <v>63</v>
      </c>
      <c r="E3" s="51" t="s">
        <v>64</v>
      </c>
      <c r="F3" s="51" t="s">
        <v>65</v>
      </c>
    </row>
    <row r="4" spans="1:6" x14ac:dyDescent="0.3">
      <c r="A4" s="5">
        <v>1</v>
      </c>
      <c r="B4" s="5">
        <v>2</v>
      </c>
      <c r="C4" s="5">
        <v>3</v>
      </c>
      <c r="D4" s="6" t="s">
        <v>66</v>
      </c>
      <c r="E4" s="5" t="s">
        <v>67</v>
      </c>
      <c r="F4" s="177" t="s">
        <v>145</v>
      </c>
    </row>
    <row r="5" spans="1:6" x14ac:dyDescent="0.3">
      <c r="A5" s="95" t="s">
        <v>68</v>
      </c>
      <c r="B5" s="96"/>
      <c r="C5" s="96"/>
      <c r="D5" s="96"/>
      <c r="E5" s="96"/>
      <c r="F5" s="97"/>
    </row>
    <row r="6" spans="1:6" ht="14.25" customHeight="1" x14ac:dyDescent="0.3">
      <c r="A6" s="31" t="s">
        <v>69</v>
      </c>
      <c r="B6" s="35">
        <v>16</v>
      </c>
      <c r="C6" s="9">
        <f>'4.2. pielikums'!B5+'4.2. pielikums'!B14</f>
        <v>2</v>
      </c>
      <c r="D6" s="16">
        <f>ROUND(C6*213.43,2)</f>
        <v>426.86</v>
      </c>
      <c r="E6" s="30">
        <f>ROUND(D6/B6,2)</f>
        <v>26.68</v>
      </c>
      <c r="F6" s="178">
        <f>ROUND(E6/215,2)</f>
        <v>0.12</v>
      </c>
    </row>
    <row r="7" spans="1:6" x14ac:dyDescent="0.3">
      <c r="A7" s="31" t="s">
        <v>70</v>
      </c>
      <c r="B7" s="35">
        <v>16</v>
      </c>
      <c r="C7" s="9">
        <f>'4.2. pielikums'!B23</f>
        <v>0.5</v>
      </c>
      <c r="D7" s="16">
        <f>ROUND(C7*213.43,2)</f>
        <v>106.72</v>
      </c>
      <c r="E7" s="30">
        <f>ROUND(D7/B7,2)</f>
        <v>6.67</v>
      </c>
      <c r="F7" s="178">
        <f>ROUND(E7/215,2)</f>
        <v>0.03</v>
      </c>
    </row>
    <row r="8" spans="1:6" x14ac:dyDescent="0.3">
      <c r="A8" s="32" t="s">
        <v>71</v>
      </c>
      <c r="B8" s="35">
        <v>16</v>
      </c>
      <c r="C8" s="9">
        <f>'4.2. pielikums'!B32</f>
        <v>0.5</v>
      </c>
      <c r="D8" s="16">
        <f>ROUND(C8*213.43,2)</f>
        <v>106.72</v>
      </c>
      <c r="E8" s="30">
        <f>ROUND(D8/B8,2)</f>
        <v>6.67</v>
      </c>
      <c r="F8" s="178">
        <f>ROUND(E8/215,2)</f>
        <v>0.03</v>
      </c>
    </row>
    <row r="9" spans="1:6" x14ac:dyDescent="0.3">
      <c r="A9" s="32" t="s">
        <v>72</v>
      </c>
      <c r="B9" s="35">
        <v>16</v>
      </c>
      <c r="C9" s="9">
        <f>'4.2. pielikums'!B40</f>
        <v>0.2</v>
      </c>
      <c r="D9" s="16">
        <f>ROUND(C9*213.43,2)</f>
        <v>42.69</v>
      </c>
      <c r="E9" s="30">
        <f>ROUND(D9/B9,2)</f>
        <v>2.67</v>
      </c>
      <c r="F9" s="178">
        <f>ROUND(E9/215,2)</f>
        <v>0.01</v>
      </c>
    </row>
    <row r="10" spans="1:6" x14ac:dyDescent="0.3">
      <c r="A10" s="34" t="s">
        <v>57</v>
      </c>
      <c r="B10" s="36">
        <f>AVERAGE(B6:B9)</f>
        <v>16</v>
      </c>
      <c r="C10" s="54">
        <f>SUM(C6:C9)</f>
        <v>3.2</v>
      </c>
      <c r="D10" s="37">
        <f>ROUND(SUM(D6:D9),2)</f>
        <v>682.99</v>
      </c>
      <c r="E10" s="37">
        <f>ROUND(SUM(E6:E9),2)</f>
        <v>42.69</v>
      </c>
      <c r="F10" s="179">
        <f>ROUND(SUM(F6:F9),2)</f>
        <v>0.19</v>
      </c>
    </row>
    <row r="11" spans="1:6" x14ac:dyDescent="0.3">
      <c r="A11" s="48"/>
      <c r="B11" s="48"/>
      <c r="C11" s="48"/>
      <c r="D11" s="48"/>
      <c r="E11" s="48"/>
      <c r="F11" s="48"/>
    </row>
    <row r="12" spans="1:6" ht="138.5" customHeight="1" x14ac:dyDescent="0.3">
      <c r="A12" s="180" t="s">
        <v>146</v>
      </c>
      <c r="B12" s="180"/>
      <c r="C12" s="180"/>
      <c r="D12" s="180"/>
      <c r="E12" s="180"/>
      <c r="F12" s="180"/>
    </row>
  </sheetData>
  <mergeCells count="4">
    <mergeCell ref="A12:F12"/>
    <mergeCell ref="A2:F2"/>
    <mergeCell ref="A1:F1"/>
    <mergeCell ref="A5:F5"/>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0"/>
  <sheetViews>
    <sheetView zoomScale="80" zoomScaleNormal="80" workbookViewId="0">
      <selection sqref="A1:W1"/>
    </sheetView>
  </sheetViews>
  <sheetFormatPr defaultColWidth="9.1796875" defaultRowHeight="14" x14ac:dyDescent="0.3"/>
  <cols>
    <col min="1" max="1" width="4.1796875" style="2" customWidth="1"/>
    <col min="2" max="2" width="30.1796875" style="2" customWidth="1"/>
    <col min="3" max="3" width="7.1796875" style="2" customWidth="1"/>
    <col min="4" max="4" width="7.26953125" style="2" customWidth="1"/>
    <col min="5" max="5" width="6.54296875" style="2" customWidth="1"/>
    <col min="6" max="6" width="6.453125" style="2" customWidth="1"/>
    <col min="7" max="7" width="7.1796875" style="2" customWidth="1"/>
    <col min="8" max="8" width="8.7265625" style="2" customWidth="1"/>
    <col min="9" max="9" width="6.453125" style="2" customWidth="1"/>
    <col min="10" max="11" width="6.54296875" style="2" customWidth="1"/>
    <col min="12" max="13" width="6" style="2" customWidth="1"/>
    <col min="14" max="14" width="6.1796875" style="2" customWidth="1"/>
    <col min="15" max="15" width="8.7265625" style="2" customWidth="1"/>
    <col min="16" max="21" width="6.1796875" style="2" customWidth="1"/>
    <col min="22" max="22" width="8.7265625" style="2" customWidth="1"/>
    <col min="23" max="23" width="9.81640625" style="2" customWidth="1"/>
    <col min="24" max="16384" width="9.1796875" style="2"/>
  </cols>
  <sheetData>
    <row r="1" spans="1:23" x14ac:dyDescent="0.3">
      <c r="A1" s="91" t="s">
        <v>73</v>
      </c>
      <c r="B1" s="91"/>
      <c r="C1" s="91"/>
      <c r="D1" s="91"/>
      <c r="E1" s="91"/>
      <c r="F1" s="91"/>
      <c r="G1" s="91"/>
      <c r="H1" s="91"/>
      <c r="I1" s="91"/>
      <c r="J1" s="91"/>
      <c r="K1" s="91"/>
      <c r="L1" s="91"/>
      <c r="M1" s="91"/>
      <c r="N1" s="91"/>
      <c r="O1" s="91"/>
      <c r="P1" s="91"/>
      <c r="Q1" s="91"/>
      <c r="R1" s="91"/>
      <c r="S1" s="91"/>
      <c r="T1" s="91"/>
      <c r="U1" s="91"/>
      <c r="V1" s="91"/>
      <c r="W1" s="91"/>
    </row>
    <row r="2" spans="1:23" ht="14.5" thickBot="1" x14ac:dyDescent="0.35">
      <c r="A2" s="98" t="s">
        <v>74</v>
      </c>
      <c r="B2" s="98"/>
      <c r="C2" s="98"/>
      <c r="D2" s="98"/>
      <c r="E2" s="98"/>
      <c r="F2" s="98"/>
      <c r="G2" s="98"/>
      <c r="H2" s="98"/>
      <c r="I2" s="98"/>
      <c r="J2" s="98"/>
      <c r="K2" s="98"/>
      <c r="L2" s="98"/>
      <c r="M2" s="98"/>
      <c r="N2" s="98"/>
      <c r="O2" s="98"/>
      <c r="P2" s="98"/>
      <c r="Q2" s="98"/>
      <c r="R2" s="98"/>
      <c r="S2" s="98"/>
      <c r="T2" s="98"/>
      <c r="U2" s="98"/>
      <c r="V2" s="98"/>
      <c r="W2" s="98"/>
    </row>
    <row r="3" spans="1:23" ht="14.5" thickBot="1" x14ac:dyDescent="0.35">
      <c r="A3" s="100" t="s">
        <v>75</v>
      </c>
      <c r="B3" s="101" t="s">
        <v>76</v>
      </c>
      <c r="C3" s="102" t="s">
        <v>77</v>
      </c>
      <c r="D3" s="103"/>
      <c r="E3" s="103"/>
      <c r="F3" s="103"/>
      <c r="G3" s="103"/>
      <c r="H3" s="104"/>
      <c r="I3" s="102" t="s">
        <v>78</v>
      </c>
      <c r="J3" s="103"/>
      <c r="K3" s="103"/>
      <c r="L3" s="103"/>
      <c r="M3" s="103"/>
      <c r="N3" s="103"/>
      <c r="O3" s="104"/>
      <c r="P3" s="107" t="s">
        <v>79</v>
      </c>
      <c r="Q3" s="108"/>
      <c r="R3" s="108"/>
      <c r="S3" s="108"/>
      <c r="T3" s="108"/>
      <c r="U3" s="108"/>
      <c r="V3" s="109"/>
      <c r="W3" s="105" t="s">
        <v>80</v>
      </c>
    </row>
    <row r="4" spans="1:23" x14ac:dyDescent="0.3">
      <c r="A4" s="100"/>
      <c r="B4" s="101"/>
      <c r="C4" s="11" t="s">
        <v>81</v>
      </c>
      <c r="D4" s="11" t="s">
        <v>82</v>
      </c>
      <c r="E4" s="11" t="s">
        <v>83</v>
      </c>
      <c r="F4" s="11" t="s">
        <v>84</v>
      </c>
      <c r="G4" s="12" t="s">
        <v>85</v>
      </c>
      <c r="H4" s="49" t="s">
        <v>86</v>
      </c>
      <c r="I4" s="13" t="s">
        <v>81</v>
      </c>
      <c r="J4" s="11" t="s">
        <v>82</v>
      </c>
      <c r="K4" s="11" t="s">
        <v>83</v>
      </c>
      <c r="L4" s="11" t="s">
        <v>84</v>
      </c>
      <c r="M4" s="11" t="s">
        <v>85</v>
      </c>
      <c r="N4" s="11" t="s">
        <v>87</v>
      </c>
      <c r="O4" s="49" t="s">
        <v>86</v>
      </c>
      <c r="P4" s="14" t="s">
        <v>81</v>
      </c>
      <c r="Q4" s="10" t="s">
        <v>82</v>
      </c>
      <c r="R4" s="10" t="s">
        <v>83</v>
      </c>
      <c r="S4" s="10" t="s">
        <v>84</v>
      </c>
      <c r="T4" s="10" t="s">
        <v>85</v>
      </c>
      <c r="U4" s="15" t="s">
        <v>87</v>
      </c>
      <c r="V4" s="49" t="s">
        <v>86</v>
      </c>
      <c r="W4" s="106"/>
    </row>
    <row r="5" spans="1:23" ht="14.15" customHeight="1" x14ac:dyDescent="0.3">
      <c r="A5" s="9">
        <v>1</v>
      </c>
      <c r="B5" s="31" t="s">
        <v>88</v>
      </c>
      <c r="C5" s="56">
        <v>9.56</v>
      </c>
      <c r="D5" s="56">
        <v>6.12</v>
      </c>
      <c r="E5" s="56">
        <v>8.7899999999999991</v>
      </c>
      <c r="F5" s="56">
        <v>7.806</v>
      </c>
      <c r="G5" s="57">
        <v>5.67</v>
      </c>
      <c r="H5" s="58">
        <f>ROUND(AVERAGE(C5:G5),2)</f>
        <v>7.59</v>
      </c>
      <c r="I5" s="59">
        <v>9.56</v>
      </c>
      <c r="J5" s="56">
        <v>6.12</v>
      </c>
      <c r="K5" s="56">
        <v>8.7899999999999991</v>
      </c>
      <c r="L5" s="56">
        <v>8.3800000000000008</v>
      </c>
      <c r="M5" s="56">
        <v>5.59</v>
      </c>
      <c r="N5" s="56">
        <v>9</v>
      </c>
      <c r="O5" s="58">
        <f t="shared" ref="O5:O17" si="0">ROUND(AVERAGE(I5:N5),2)</f>
        <v>7.91</v>
      </c>
      <c r="P5" s="60">
        <v>9.56</v>
      </c>
      <c r="Q5" s="56">
        <v>6.12</v>
      </c>
      <c r="R5" s="56">
        <v>8.7899999999999991</v>
      </c>
      <c r="S5" s="56">
        <v>16.25</v>
      </c>
      <c r="T5" s="56">
        <v>5.59</v>
      </c>
      <c r="U5" s="57">
        <v>9.86</v>
      </c>
      <c r="V5" s="58">
        <f>ROUND(AVERAGE(P5:U5),2)</f>
        <v>9.36</v>
      </c>
      <c r="W5" s="61">
        <f>ROUND((H5+O5+V5)/3,2)</f>
        <v>8.2899999999999991</v>
      </c>
    </row>
    <row r="6" spans="1:23" ht="28" customHeight="1" x14ac:dyDescent="0.3">
      <c r="A6" s="9">
        <v>2</v>
      </c>
      <c r="B6" s="31" t="s">
        <v>89</v>
      </c>
      <c r="C6" s="62">
        <v>7.0000000000000007E-2</v>
      </c>
      <c r="D6" s="62">
        <v>0.14000000000000001</v>
      </c>
      <c r="E6" s="62">
        <v>0.05</v>
      </c>
      <c r="F6" s="62">
        <v>6.3E-2</v>
      </c>
      <c r="G6" s="63">
        <v>0.52</v>
      </c>
      <c r="H6" s="64">
        <f t="shared" ref="H6:H17" si="1">ROUND(AVERAGE(C6:G6),2)</f>
        <v>0.17</v>
      </c>
      <c r="I6" s="65">
        <v>7.0000000000000007E-2</v>
      </c>
      <c r="J6" s="62">
        <v>0.14000000000000001</v>
      </c>
      <c r="K6" s="62">
        <v>0.05</v>
      </c>
      <c r="L6" s="62">
        <v>3.5000000000000003E-2</v>
      </c>
      <c r="M6" s="62">
        <v>0.52</v>
      </c>
      <c r="N6" s="62">
        <v>0.3</v>
      </c>
      <c r="O6" s="64">
        <f t="shared" si="0"/>
        <v>0.19</v>
      </c>
      <c r="P6" s="66">
        <v>7.0000000000000007E-2</v>
      </c>
      <c r="Q6" s="62">
        <v>0.14000000000000001</v>
      </c>
      <c r="R6" s="62">
        <v>0.05</v>
      </c>
      <c r="S6" s="62">
        <v>0.05</v>
      </c>
      <c r="T6" s="62">
        <v>0.52</v>
      </c>
      <c r="U6" s="67" t="s">
        <v>90</v>
      </c>
      <c r="V6" s="64">
        <f t="shared" ref="V6:V17" si="2">ROUND(AVERAGE(P6:U6),2)</f>
        <v>0.17</v>
      </c>
      <c r="W6" s="68">
        <f t="shared" ref="W6:W17" si="3">ROUND((H6+O6+V6)/3,2)</f>
        <v>0.18</v>
      </c>
    </row>
    <row r="7" spans="1:23" ht="14.15" customHeight="1" x14ac:dyDescent="0.3">
      <c r="A7" s="9">
        <v>3</v>
      </c>
      <c r="B7" s="77" t="s">
        <v>91</v>
      </c>
      <c r="C7" s="62">
        <v>2.13</v>
      </c>
      <c r="D7" s="62">
        <v>1.84</v>
      </c>
      <c r="E7" s="62">
        <v>1.88</v>
      </c>
      <c r="F7" s="62">
        <v>1.708</v>
      </c>
      <c r="G7" s="63">
        <v>1.3</v>
      </c>
      <c r="H7" s="64">
        <f t="shared" si="1"/>
        <v>1.77</v>
      </c>
      <c r="I7" s="65">
        <v>2.13</v>
      </c>
      <c r="J7" s="62">
        <v>1.84</v>
      </c>
      <c r="K7" s="62">
        <v>1.88</v>
      </c>
      <c r="L7" s="62">
        <v>1.7070000000000001</v>
      </c>
      <c r="M7" s="62">
        <v>1.2</v>
      </c>
      <c r="N7" s="62">
        <v>1.6</v>
      </c>
      <c r="O7" s="64">
        <f t="shared" si="0"/>
        <v>1.73</v>
      </c>
      <c r="P7" s="66">
        <v>2.13</v>
      </c>
      <c r="Q7" s="62">
        <v>1.84</v>
      </c>
      <c r="R7" s="62">
        <v>1.88</v>
      </c>
      <c r="S7" s="62">
        <v>1.48</v>
      </c>
      <c r="T7" s="62">
        <v>1.2</v>
      </c>
      <c r="U7" s="63">
        <v>0.94</v>
      </c>
      <c r="V7" s="64">
        <f t="shared" si="2"/>
        <v>1.58</v>
      </c>
      <c r="W7" s="68">
        <f t="shared" si="3"/>
        <v>1.69</v>
      </c>
    </row>
    <row r="8" spans="1:23" ht="14.15" customHeight="1" x14ac:dyDescent="0.3">
      <c r="A8" s="9">
        <v>4</v>
      </c>
      <c r="B8" s="31" t="s">
        <v>92</v>
      </c>
      <c r="C8" s="62">
        <v>0.04</v>
      </c>
      <c r="D8" s="62">
        <v>0.04</v>
      </c>
      <c r="E8" s="62">
        <v>7.0000000000000007E-2</v>
      </c>
      <c r="F8" s="62">
        <v>5.5E-2</v>
      </c>
      <c r="G8" s="63">
        <v>0.24</v>
      </c>
      <c r="H8" s="64">
        <f t="shared" si="1"/>
        <v>0.09</v>
      </c>
      <c r="I8" s="65">
        <v>0.04</v>
      </c>
      <c r="J8" s="62">
        <v>0.04</v>
      </c>
      <c r="K8" s="62">
        <v>7.0000000000000007E-2</v>
      </c>
      <c r="L8" s="62">
        <v>5.5E-2</v>
      </c>
      <c r="M8" s="62">
        <v>0.24</v>
      </c>
      <c r="N8" s="62">
        <v>0.18</v>
      </c>
      <c r="O8" s="64">
        <f t="shared" si="0"/>
        <v>0.1</v>
      </c>
      <c r="P8" s="66">
        <v>0.04</v>
      </c>
      <c r="Q8" s="62">
        <v>0.04</v>
      </c>
      <c r="R8" s="62">
        <v>7.0000000000000007E-2</v>
      </c>
      <c r="S8" s="62">
        <v>0.06</v>
      </c>
      <c r="T8" s="62">
        <v>0.24</v>
      </c>
      <c r="U8" s="67" t="s">
        <v>90</v>
      </c>
      <c r="V8" s="64">
        <f t="shared" si="2"/>
        <v>0.09</v>
      </c>
      <c r="W8" s="68">
        <f t="shared" si="3"/>
        <v>0.09</v>
      </c>
    </row>
    <row r="9" spans="1:23" ht="14.15" customHeight="1" x14ac:dyDescent="0.3">
      <c r="A9" s="9">
        <v>5</v>
      </c>
      <c r="B9" s="31" t="s">
        <v>93</v>
      </c>
      <c r="C9" s="62">
        <v>0.27</v>
      </c>
      <c r="D9" s="62">
        <v>0.43</v>
      </c>
      <c r="E9" s="62">
        <v>0.15</v>
      </c>
      <c r="F9" s="62">
        <v>0.159</v>
      </c>
      <c r="G9" s="63">
        <v>0.19</v>
      </c>
      <c r="H9" s="64">
        <f t="shared" si="1"/>
        <v>0.24</v>
      </c>
      <c r="I9" s="65">
        <v>0.27</v>
      </c>
      <c r="J9" s="62">
        <v>0.43</v>
      </c>
      <c r="K9" s="62">
        <v>0.15</v>
      </c>
      <c r="L9" s="62">
        <v>0.17699999999999999</v>
      </c>
      <c r="M9" s="62">
        <v>0.19</v>
      </c>
      <c r="N9" s="62">
        <v>0.3</v>
      </c>
      <c r="O9" s="64">
        <f t="shared" si="0"/>
        <v>0.25</v>
      </c>
      <c r="P9" s="66">
        <v>0.27</v>
      </c>
      <c r="Q9" s="62">
        <v>0.43</v>
      </c>
      <c r="R9" s="62">
        <v>0.15</v>
      </c>
      <c r="S9" s="62">
        <v>0.26</v>
      </c>
      <c r="T9" s="62">
        <v>0.19</v>
      </c>
      <c r="U9" s="67" t="s">
        <v>90</v>
      </c>
      <c r="V9" s="64">
        <f t="shared" si="2"/>
        <v>0.26</v>
      </c>
      <c r="W9" s="68">
        <f t="shared" si="3"/>
        <v>0.25</v>
      </c>
    </row>
    <row r="10" spans="1:23" ht="14.15" customHeight="1" x14ac:dyDescent="0.3">
      <c r="A10" s="9">
        <v>6</v>
      </c>
      <c r="B10" s="31" t="s">
        <v>94</v>
      </c>
      <c r="C10" s="62">
        <v>0.04</v>
      </c>
      <c r="D10" s="62">
        <v>0.02</v>
      </c>
      <c r="E10" s="62">
        <v>0.1</v>
      </c>
      <c r="F10" s="62">
        <v>2.5999999999999999E-2</v>
      </c>
      <c r="G10" s="63">
        <v>0.11</v>
      </c>
      <c r="H10" s="64">
        <f t="shared" si="1"/>
        <v>0.06</v>
      </c>
      <c r="I10" s="65">
        <v>0.04</v>
      </c>
      <c r="J10" s="62">
        <v>0.02</v>
      </c>
      <c r="K10" s="62">
        <v>0.1</v>
      </c>
      <c r="L10" s="62">
        <v>2.5999999999999999E-2</v>
      </c>
      <c r="M10" s="62">
        <v>0.11</v>
      </c>
      <c r="N10" s="62">
        <v>0.16</v>
      </c>
      <c r="O10" s="64">
        <f t="shared" si="0"/>
        <v>0.08</v>
      </c>
      <c r="P10" s="66">
        <v>0.04</v>
      </c>
      <c r="Q10" s="62">
        <v>0.02</v>
      </c>
      <c r="R10" s="62">
        <v>0.1</v>
      </c>
      <c r="S10" s="62">
        <v>0.04</v>
      </c>
      <c r="T10" s="62">
        <v>0.11</v>
      </c>
      <c r="U10" s="67" t="s">
        <v>90</v>
      </c>
      <c r="V10" s="64">
        <f t="shared" si="2"/>
        <v>0.06</v>
      </c>
      <c r="W10" s="68">
        <f t="shared" si="3"/>
        <v>7.0000000000000007E-2</v>
      </c>
    </row>
    <row r="11" spans="1:23" ht="28" customHeight="1" x14ac:dyDescent="0.3">
      <c r="A11" s="9">
        <v>7</v>
      </c>
      <c r="B11" s="31" t="s">
        <v>95</v>
      </c>
      <c r="C11" s="62">
        <v>0.18</v>
      </c>
      <c r="D11" s="62">
        <v>0.46</v>
      </c>
      <c r="E11" s="62">
        <v>0.15</v>
      </c>
      <c r="F11" s="69" t="s">
        <v>90</v>
      </c>
      <c r="G11" s="63">
        <v>0.11</v>
      </c>
      <c r="H11" s="64">
        <f t="shared" si="1"/>
        <v>0.23</v>
      </c>
      <c r="I11" s="65">
        <v>0.18</v>
      </c>
      <c r="J11" s="62">
        <v>0.46</v>
      </c>
      <c r="K11" s="62">
        <v>0.15</v>
      </c>
      <c r="L11" s="69" t="s">
        <v>90</v>
      </c>
      <c r="M11" s="62">
        <v>0.11</v>
      </c>
      <c r="N11" s="62">
        <v>0.62</v>
      </c>
      <c r="O11" s="64">
        <f t="shared" si="0"/>
        <v>0.3</v>
      </c>
      <c r="P11" s="66">
        <v>0.18</v>
      </c>
      <c r="Q11" s="62">
        <v>0.46</v>
      </c>
      <c r="R11" s="62">
        <v>0.15</v>
      </c>
      <c r="S11" s="69" t="s">
        <v>90</v>
      </c>
      <c r="T11" s="62">
        <v>0.11</v>
      </c>
      <c r="U11" s="67" t="s">
        <v>90</v>
      </c>
      <c r="V11" s="64">
        <f t="shared" si="2"/>
        <v>0.23</v>
      </c>
      <c r="W11" s="68">
        <f t="shared" si="3"/>
        <v>0.25</v>
      </c>
    </row>
    <row r="12" spans="1:23" ht="28" customHeight="1" x14ac:dyDescent="0.3">
      <c r="A12" s="9">
        <v>8</v>
      </c>
      <c r="B12" s="31" t="s">
        <v>96</v>
      </c>
      <c r="C12" s="62">
        <v>1.1399999999999999</v>
      </c>
      <c r="D12" s="62">
        <v>4.3600000000000003</v>
      </c>
      <c r="E12" s="62">
        <v>1.97</v>
      </c>
      <c r="F12" s="62">
        <v>1.623</v>
      </c>
      <c r="G12" s="63">
        <v>2.83</v>
      </c>
      <c r="H12" s="64">
        <f t="shared" si="1"/>
        <v>2.38</v>
      </c>
      <c r="I12" s="65">
        <v>1.1399999999999999</v>
      </c>
      <c r="J12" s="62">
        <v>4.3600000000000003</v>
      </c>
      <c r="K12" s="62">
        <v>1.97</v>
      </c>
      <c r="L12" s="62">
        <v>1.425</v>
      </c>
      <c r="M12" s="62">
        <v>2.84</v>
      </c>
      <c r="N12" s="62">
        <v>1.5</v>
      </c>
      <c r="O12" s="64">
        <f t="shared" si="0"/>
        <v>2.21</v>
      </c>
      <c r="P12" s="66">
        <v>1.1399999999999999</v>
      </c>
      <c r="Q12" s="62">
        <v>4.3600000000000003</v>
      </c>
      <c r="R12" s="62">
        <v>1.97</v>
      </c>
      <c r="S12" s="62">
        <v>1.74</v>
      </c>
      <c r="T12" s="62">
        <v>2.84</v>
      </c>
      <c r="U12" s="67" t="s">
        <v>90</v>
      </c>
      <c r="V12" s="64">
        <f t="shared" si="2"/>
        <v>2.41</v>
      </c>
      <c r="W12" s="68">
        <f t="shared" si="3"/>
        <v>2.33</v>
      </c>
    </row>
    <row r="13" spans="1:23" ht="28" customHeight="1" x14ac:dyDescent="0.3">
      <c r="A13" s="9">
        <v>9</v>
      </c>
      <c r="B13" s="31" t="s">
        <v>97</v>
      </c>
      <c r="C13" s="62">
        <v>0.02</v>
      </c>
      <c r="D13" s="62">
        <v>0.01</v>
      </c>
      <c r="E13" s="62">
        <v>0.1</v>
      </c>
      <c r="F13" s="62">
        <v>2.4769999999999999</v>
      </c>
      <c r="G13" s="67" t="s">
        <v>90</v>
      </c>
      <c r="H13" s="64">
        <f t="shared" si="1"/>
        <v>0.65</v>
      </c>
      <c r="I13" s="65">
        <v>0.02</v>
      </c>
      <c r="J13" s="62">
        <v>0.01</v>
      </c>
      <c r="K13" s="62">
        <v>0.1</v>
      </c>
      <c r="L13" s="62">
        <v>2.8050000000000002</v>
      </c>
      <c r="M13" s="69" t="s">
        <v>90</v>
      </c>
      <c r="N13" s="69" t="s">
        <v>90</v>
      </c>
      <c r="O13" s="64">
        <f t="shared" si="0"/>
        <v>0.73</v>
      </c>
      <c r="P13" s="70">
        <v>0.02</v>
      </c>
      <c r="Q13" s="71">
        <v>0.01</v>
      </c>
      <c r="R13" s="72">
        <v>0.1</v>
      </c>
      <c r="S13" s="71">
        <v>0.45</v>
      </c>
      <c r="T13" s="69" t="s">
        <v>90</v>
      </c>
      <c r="U13" s="67" t="s">
        <v>90</v>
      </c>
      <c r="V13" s="64">
        <f t="shared" si="2"/>
        <v>0.15</v>
      </c>
      <c r="W13" s="68">
        <f t="shared" si="3"/>
        <v>0.51</v>
      </c>
    </row>
    <row r="14" spans="1:23" ht="14.15" customHeight="1" x14ac:dyDescent="0.3">
      <c r="A14" s="9">
        <v>10</v>
      </c>
      <c r="B14" s="31" t="s">
        <v>98</v>
      </c>
      <c r="C14" s="69" t="s">
        <v>90</v>
      </c>
      <c r="D14" s="62">
        <v>0.25</v>
      </c>
      <c r="E14" s="62">
        <v>0.15</v>
      </c>
      <c r="F14" s="69" t="s">
        <v>90</v>
      </c>
      <c r="G14" s="67" t="s">
        <v>90</v>
      </c>
      <c r="H14" s="64">
        <f t="shared" si="1"/>
        <v>0.2</v>
      </c>
      <c r="I14" s="73" t="s">
        <v>90</v>
      </c>
      <c r="J14" s="62">
        <v>0.25</v>
      </c>
      <c r="K14" s="62">
        <v>0.15</v>
      </c>
      <c r="L14" s="69" t="s">
        <v>90</v>
      </c>
      <c r="M14" s="69" t="s">
        <v>90</v>
      </c>
      <c r="N14" s="62">
        <v>0.2</v>
      </c>
      <c r="O14" s="64">
        <f t="shared" si="0"/>
        <v>0.2</v>
      </c>
      <c r="P14" s="74" t="s">
        <v>90</v>
      </c>
      <c r="Q14" s="71">
        <v>0.25</v>
      </c>
      <c r="R14" s="71">
        <v>0.15</v>
      </c>
      <c r="S14" s="75" t="s">
        <v>90</v>
      </c>
      <c r="T14" s="69" t="s">
        <v>90</v>
      </c>
      <c r="U14" s="67" t="s">
        <v>90</v>
      </c>
      <c r="V14" s="64">
        <f t="shared" si="2"/>
        <v>0.2</v>
      </c>
      <c r="W14" s="68">
        <f t="shared" si="3"/>
        <v>0.2</v>
      </c>
    </row>
    <row r="15" spans="1:23" ht="42" customHeight="1" x14ac:dyDescent="0.3">
      <c r="A15" s="9">
        <v>11</v>
      </c>
      <c r="B15" s="31" t="s">
        <v>99</v>
      </c>
      <c r="C15" s="62">
        <v>0.22</v>
      </c>
      <c r="D15" s="62">
        <v>0.02</v>
      </c>
      <c r="E15" s="62">
        <v>0.05</v>
      </c>
      <c r="F15" s="69" t="s">
        <v>90</v>
      </c>
      <c r="G15" s="67" t="s">
        <v>90</v>
      </c>
      <c r="H15" s="64">
        <f t="shared" si="1"/>
        <v>0.1</v>
      </c>
      <c r="I15" s="65">
        <v>0.22</v>
      </c>
      <c r="J15" s="62">
        <v>0.02</v>
      </c>
      <c r="K15" s="62">
        <v>0.05</v>
      </c>
      <c r="L15" s="69" t="s">
        <v>90</v>
      </c>
      <c r="M15" s="69" t="s">
        <v>90</v>
      </c>
      <c r="N15" s="62">
        <v>0.2</v>
      </c>
      <c r="O15" s="64">
        <f t="shared" si="0"/>
        <v>0.12</v>
      </c>
      <c r="P15" s="70">
        <v>0.22</v>
      </c>
      <c r="Q15" s="71">
        <v>0.02</v>
      </c>
      <c r="R15" s="71">
        <v>0.05</v>
      </c>
      <c r="S15" s="75" t="s">
        <v>90</v>
      </c>
      <c r="T15" s="69" t="s">
        <v>90</v>
      </c>
      <c r="U15" s="67" t="s">
        <v>90</v>
      </c>
      <c r="V15" s="64">
        <f t="shared" si="2"/>
        <v>0.1</v>
      </c>
      <c r="W15" s="68">
        <f t="shared" si="3"/>
        <v>0.11</v>
      </c>
    </row>
    <row r="16" spans="1:23" ht="14.15" customHeight="1" x14ac:dyDescent="0.3">
      <c r="A16" s="9">
        <v>12</v>
      </c>
      <c r="B16" s="31" t="s">
        <v>100</v>
      </c>
      <c r="C16" s="69" t="s">
        <v>90</v>
      </c>
      <c r="D16" s="69" t="s">
        <v>90</v>
      </c>
      <c r="E16" s="69" t="s">
        <v>90</v>
      </c>
      <c r="F16" s="69" t="s">
        <v>90</v>
      </c>
      <c r="G16" s="67" t="s">
        <v>90</v>
      </c>
      <c r="H16" s="64">
        <v>0</v>
      </c>
      <c r="I16" s="73" t="s">
        <v>90</v>
      </c>
      <c r="J16" s="69" t="s">
        <v>90</v>
      </c>
      <c r="K16" s="69" t="s">
        <v>90</v>
      </c>
      <c r="L16" s="62">
        <v>0.11</v>
      </c>
      <c r="M16" s="69" t="s">
        <v>90</v>
      </c>
      <c r="N16" s="69" t="s">
        <v>90</v>
      </c>
      <c r="O16" s="64">
        <f t="shared" si="0"/>
        <v>0.11</v>
      </c>
      <c r="P16" s="76" t="s">
        <v>90</v>
      </c>
      <c r="Q16" s="69" t="s">
        <v>90</v>
      </c>
      <c r="R16" s="69" t="s">
        <v>90</v>
      </c>
      <c r="S16" s="69" t="s">
        <v>90</v>
      </c>
      <c r="T16" s="69" t="s">
        <v>90</v>
      </c>
      <c r="U16" s="67" t="s">
        <v>90</v>
      </c>
      <c r="V16" s="64">
        <v>0</v>
      </c>
      <c r="W16" s="68">
        <f t="shared" si="3"/>
        <v>0.04</v>
      </c>
    </row>
    <row r="17" spans="1:23" ht="28" customHeight="1" x14ac:dyDescent="0.3">
      <c r="A17" s="9">
        <v>13</v>
      </c>
      <c r="B17" s="31" t="s">
        <v>101</v>
      </c>
      <c r="C17" s="62">
        <v>0.09</v>
      </c>
      <c r="D17" s="62">
        <v>7.0000000000000007E-2</v>
      </c>
      <c r="E17" s="62">
        <v>0.3</v>
      </c>
      <c r="F17" s="62">
        <v>0.22</v>
      </c>
      <c r="G17" s="67" t="s">
        <v>90</v>
      </c>
      <c r="H17" s="64">
        <f t="shared" si="1"/>
        <v>0.17</v>
      </c>
      <c r="I17" s="65">
        <v>0.09</v>
      </c>
      <c r="J17" s="62">
        <v>7.0000000000000007E-2</v>
      </c>
      <c r="K17" s="62">
        <v>0.3</v>
      </c>
      <c r="L17" s="62">
        <v>0.27200000000000002</v>
      </c>
      <c r="M17" s="69" t="s">
        <v>90</v>
      </c>
      <c r="N17" s="62">
        <v>0.03</v>
      </c>
      <c r="O17" s="64">
        <f t="shared" si="0"/>
        <v>0.15</v>
      </c>
      <c r="P17" s="70">
        <v>0.09</v>
      </c>
      <c r="Q17" s="71">
        <v>7.0000000000000007E-2</v>
      </c>
      <c r="R17" s="72">
        <v>0.3</v>
      </c>
      <c r="S17" s="71">
        <v>0.14000000000000001</v>
      </c>
      <c r="T17" s="69" t="s">
        <v>90</v>
      </c>
      <c r="U17" s="67" t="s">
        <v>90</v>
      </c>
      <c r="V17" s="64">
        <f t="shared" si="2"/>
        <v>0.15</v>
      </c>
      <c r="W17" s="68">
        <f t="shared" si="3"/>
        <v>0.16</v>
      </c>
    </row>
    <row r="18" spans="1:23" x14ac:dyDescent="0.3">
      <c r="F18" s="17"/>
    </row>
    <row r="19" spans="1:23" x14ac:dyDescent="0.3">
      <c r="A19" s="99" t="s">
        <v>102</v>
      </c>
      <c r="B19" s="99"/>
      <c r="C19" s="99"/>
      <c r="D19" s="99"/>
      <c r="E19" s="99"/>
      <c r="F19" s="99"/>
      <c r="G19" s="99"/>
      <c r="H19" s="99"/>
      <c r="I19" s="99"/>
      <c r="J19" s="99"/>
      <c r="K19" s="99"/>
      <c r="L19" s="99"/>
      <c r="M19" s="99"/>
      <c r="N19" s="99"/>
      <c r="O19" s="99"/>
      <c r="P19" s="99"/>
      <c r="Q19" s="99"/>
      <c r="R19" s="99"/>
      <c r="S19" s="99"/>
      <c r="T19" s="99"/>
      <c r="U19" s="99"/>
      <c r="V19" s="99"/>
      <c r="W19" s="99"/>
    </row>
    <row r="20" spans="1:23" ht="29.5" customHeight="1" x14ac:dyDescent="0.3">
      <c r="A20" s="180" t="s">
        <v>147</v>
      </c>
      <c r="B20" s="180"/>
      <c r="C20" s="180"/>
      <c r="D20" s="180"/>
      <c r="E20" s="180"/>
      <c r="F20" s="180"/>
      <c r="G20" s="180"/>
      <c r="H20" s="180"/>
      <c r="I20" s="180"/>
      <c r="J20" s="180"/>
      <c r="K20" s="180"/>
      <c r="L20" s="180"/>
      <c r="M20" s="180"/>
      <c r="N20" s="180"/>
      <c r="O20" s="180"/>
      <c r="P20" s="180"/>
      <c r="Q20" s="180"/>
      <c r="R20" s="180"/>
      <c r="S20" s="180"/>
      <c r="T20" s="180"/>
      <c r="U20" s="180"/>
      <c r="V20" s="180"/>
      <c r="W20" s="180"/>
    </row>
  </sheetData>
  <mergeCells count="10">
    <mergeCell ref="A2:W2"/>
    <mergeCell ref="A1:W1"/>
    <mergeCell ref="A20:W20"/>
    <mergeCell ref="A19:W19"/>
    <mergeCell ref="A3:A4"/>
    <mergeCell ref="B3:B4"/>
    <mergeCell ref="C3:H3"/>
    <mergeCell ref="I3:O3"/>
    <mergeCell ref="W3:W4"/>
    <mergeCell ref="P3:V3"/>
  </mergeCells>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
  <sheetViews>
    <sheetView zoomScaleNormal="100" workbookViewId="0">
      <selection sqref="A1:C1"/>
    </sheetView>
  </sheetViews>
  <sheetFormatPr defaultColWidth="9.1796875" defaultRowHeight="14" x14ac:dyDescent="0.3"/>
  <cols>
    <col min="1" max="1" width="4.1796875" style="2" customWidth="1"/>
    <col min="2" max="2" width="35.26953125" style="2" customWidth="1"/>
    <col min="3" max="3" width="19.26953125" style="2" customWidth="1"/>
    <col min="4" max="4" width="18.453125" style="2" customWidth="1"/>
    <col min="5" max="16384" width="9.1796875" style="2"/>
  </cols>
  <sheetData>
    <row r="1" spans="1:5" x14ac:dyDescent="0.3">
      <c r="A1" s="115" t="s">
        <v>103</v>
      </c>
      <c r="B1" s="115"/>
      <c r="C1" s="115"/>
      <c r="D1" s="18"/>
      <c r="E1" s="18"/>
    </row>
    <row r="2" spans="1:5" x14ac:dyDescent="0.3">
      <c r="A2" s="114" t="s">
        <v>104</v>
      </c>
      <c r="B2" s="114"/>
      <c r="C2" s="114"/>
    </row>
    <row r="3" spans="1:5" ht="28" x14ac:dyDescent="0.3">
      <c r="A3" s="50" t="s">
        <v>75</v>
      </c>
      <c r="B3" s="50" t="s">
        <v>105</v>
      </c>
      <c r="C3" s="50" t="s">
        <v>106</v>
      </c>
    </row>
    <row r="4" spans="1:5" x14ac:dyDescent="0.3">
      <c r="A4" s="19">
        <v>1</v>
      </c>
      <c r="B4" s="3" t="s">
        <v>107</v>
      </c>
      <c r="C4" s="20">
        <v>67864.570000000007</v>
      </c>
    </row>
    <row r="5" spans="1:5" ht="21" customHeight="1" x14ac:dyDescent="0.3">
      <c r="A5" s="19">
        <v>2</v>
      </c>
      <c r="B5" s="3" t="s">
        <v>108</v>
      </c>
      <c r="C5" s="20">
        <v>41364.769999999997</v>
      </c>
    </row>
    <row r="6" spans="1:5" x14ac:dyDescent="0.3">
      <c r="A6" s="19">
        <v>3</v>
      </c>
      <c r="B6" s="3" t="s">
        <v>109</v>
      </c>
      <c r="C6" s="20">
        <v>55500</v>
      </c>
    </row>
    <row r="7" spans="1:5" x14ac:dyDescent="0.3">
      <c r="A7" s="116" t="s">
        <v>110</v>
      </c>
      <c r="B7" s="117"/>
      <c r="C7" s="20">
        <f>SUM(C4:C6)</f>
        <v>164729.34</v>
      </c>
    </row>
    <row r="8" spans="1:5" x14ac:dyDescent="0.3">
      <c r="A8" s="110" t="s">
        <v>111</v>
      </c>
      <c r="B8" s="111"/>
      <c r="C8" s="20">
        <f>C7/3</f>
        <v>54909.78</v>
      </c>
    </row>
    <row r="9" spans="1:5" x14ac:dyDescent="0.3">
      <c r="A9" s="110" t="s">
        <v>112</v>
      </c>
      <c r="B9" s="111"/>
      <c r="C9" s="21">
        <v>120</v>
      </c>
    </row>
    <row r="10" spans="1:5" x14ac:dyDescent="0.3">
      <c r="A10" s="110" t="s">
        <v>113</v>
      </c>
      <c r="B10" s="111"/>
      <c r="C10" s="20">
        <f>C8/C9</f>
        <v>457.58150000000001</v>
      </c>
    </row>
    <row r="11" spans="1:5" x14ac:dyDescent="0.3">
      <c r="A11" s="110" t="s">
        <v>114</v>
      </c>
      <c r="B11" s="111"/>
      <c r="C11" s="20">
        <f>C10/16</f>
        <v>28.59884375</v>
      </c>
    </row>
    <row r="12" spans="1:5" x14ac:dyDescent="0.3">
      <c r="A12" s="112" t="s">
        <v>115</v>
      </c>
      <c r="B12" s="113"/>
      <c r="C12" s="22">
        <f>C11/21</f>
        <v>1.3618497023809524</v>
      </c>
    </row>
    <row r="13" spans="1:5" x14ac:dyDescent="0.3">
      <c r="B13" s="23"/>
      <c r="C13" s="24"/>
    </row>
    <row r="14" spans="1:5" x14ac:dyDescent="0.3">
      <c r="B14" s="23"/>
      <c r="C14" s="24"/>
    </row>
    <row r="15" spans="1:5" x14ac:dyDescent="0.3">
      <c r="B15" s="23"/>
      <c r="C15" s="24"/>
    </row>
    <row r="16" spans="1:5" x14ac:dyDescent="0.3">
      <c r="B16" s="23"/>
      <c r="C16" s="24"/>
    </row>
    <row r="17" spans="2:3" x14ac:dyDescent="0.3">
      <c r="B17" s="23"/>
      <c r="C17" s="24"/>
    </row>
    <row r="18" spans="2:3" x14ac:dyDescent="0.3">
      <c r="C18" s="24"/>
    </row>
    <row r="19" spans="2:3" x14ac:dyDescent="0.3">
      <c r="C19" s="24"/>
    </row>
  </sheetData>
  <mergeCells count="8">
    <mergeCell ref="A11:B11"/>
    <mergeCell ref="A12:B12"/>
    <mergeCell ref="A2:C2"/>
    <mergeCell ref="A1:C1"/>
    <mergeCell ref="A7:B7"/>
    <mergeCell ref="A8:B8"/>
    <mergeCell ref="A9:B9"/>
    <mergeCell ref="A10:B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workbookViewId="0">
      <selection sqref="A1:G1"/>
    </sheetView>
  </sheetViews>
  <sheetFormatPr defaultColWidth="9.1796875" defaultRowHeight="12.5" x14ac:dyDescent="0.25"/>
  <cols>
    <col min="1" max="1" width="32.7265625" style="25" customWidth="1"/>
    <col min="2" max="2" width="17.7265625" style="25" customWidth="1"/>
    <col min="3" max="3" width="7.7265625" style="25" customWidth="1"/>
    <col min="4" max="4" width="19.7265625" style="25" customWidth="1"/>
    <col min="5" max="5" width="21.7265625" style="25" customWidth="1"/>
    <col min="6" max="6" width="11.7265625" style="25" customWidth="1"/>
    <col min="7" max="7" width="22.7265625" style="25" customWidth="1"/>
    <col min="8" max="16384" width="9.1796875" style="25"/>
  </cols>
  <sheetData>
    <row r="1" spans="1:7" ht="14" x14ac:dyDescent="0.3">
      <c r="A1" s="118" t="s">
        <v>116</v>
      </c>
      <c r="B1" s="118"/>
      <c r="C1" s="118"/>
      <c r="D1" s="118"/>
      <c r="E1" s="118"/>
      <c r="F1" s="118"/>
      <c r="G1" s="118"/>
    </row>
    <row r="2" spans="1:7" ht="14" x14ac:dyDescent="0.25">
      <c r="A2" s="92" t="s">
        <v>117</v>
      </c>
      <c r="B2" s="92"/>
      <c r="C2" s="92"/>
      <c r="D2" s="92"/>
      <c r="E2" s="92"/>
      <c r="F2" s="92"/>
      <c r="G2" s="92"/>
    </row>
    <row r="3" spans="1:7" ht="42" x14ac:dyDescent="0.25">
      <c r="A3" s="8" t="s">
        <v>118</v>
      </c>
      <c r="B3" s="8" t="s">
        <v>119</v>
      </c>
      <c r="C3" s="8" t="s">
        <v>120</v>
      </c>
      <c r="D3" s="8" t="s">
        <v>121</v>
      </c>
      <c r="E3" s="8" t="s">
        <v>122</v>
      </c>
      <c r="F3" s="8" t="s">
        <v>123</v>
      </c>
      <c r="G3" s="8" t="s">
        <v>124</v>
      </c>
    </row>
    <row r="4" spans="1:7" ht="14" x14ac:dyDescent="0.3">
      <c r="A4" s="51">
        <v>1</v>
      </c>
      <c r="B4" s="51">
        <v>2</v>
      </c>
      <c r="C4" s="52">
        <v>3</v>
      </c>
      <c r="D4" s="51" t="s">
        <v>125</v>
      </c>
      <c r="E4" s="53" t="s">
        <v>126</v>
      </c>
      <c r="F4" s="53">
        <v>6</v>
      </c>
      <c r="G4" s="51" t="s">
        <v>127</v>
      </c>
    </row>
    <row r="5" spans="1:7" ht="14" x14ac:dyDescent="0.3">
      <c r="A5" s="7" t="s">
        <v>128</v>
      </c>
      <c r="B5" s="9">
        <v>176.75</v>
      </c>
      <c r="C5" s="125">
        <v>1720</v>
      </c>
      <c r="D5" s="121">
        <f>ROUND(B5/C5,2)</f>
        <v>0.1</v>
      </c>
      <c r="E5" s="121">
        <f>ROUND(AVERAGE(D5),2)</f>
        <v>0.1</v>
      </c>
      <c r="F5" s="123">
        <v>3</v>
      </c>
      <c r="G5" s="26"/>
    </row>
    <row r="6" spans="1:7" ht="14" x14ac:dyDescent="0.3">
      <c r="A6" s="7" t="s">
        <v>129</v>
      </c>
      <c r="B6" s="9">
        <v>176.75</v>
      </c>
      <c r="C6" s="125"/>
      <c r="D6" s="122"/>
      <c r="E6" s="122"/>
      <c r="F6" s="124"/>
      <c r="G6" s="27">
        <f>ROUND(E5*F5+E7*F7,2)</f>
        <v>0.34</v>
      </c>
    </row>
    <row r="7" spans="1:7" ht="14" x14ac:dyDescent="0.3">
      <c r="A7" s="7" t="s">
        <v>130</v>
      </c>
      <c r="B7" s="9">
        <v>75.75</v>
      </c>
      <c r="C7" s="125"/>
      <c r="D7" s="16">
        <f>ROUND(B7/C5,2)</f>
        <v>0.04</v>
      </c>
      <c r="E7" s="16">
        <f>D7</f>
        <v>0.04</v>
      </c>
      <c r="F7" s="33">
        <v>1</v>
      </c>
      <c r="G7" s="28"/>
    </row>
    <row r="8" spans="1:7" ht="14" x14ac:dyDescent="0.3">
      <c r="A8" s="4"/>
      <c r="B8" s="4"/>
      <c r="C8" s="4"/>
      <c r="D8" s="4"/>
      <c r="E8" s="4"/>
      <c r="F8" s="4"/>
      <c r="G8" s="4"/>
    </row>
    <row r="9" spans="1:7" ht="35.25" customHeight="1" x14ac:dyDescent="0.25">
      <c r="A9" s="119" t="s">
        <v>131</v>
      </c>
      <c r="B9" s="119"/>
      <c r="C9" s="119"/>
      <c r="D9" s="119"/>
      <c r="E9" s="119"/>
      <c r="F9" s="119"/>
      <c r="G9" s="119"/>
    </row>
    <row r="10" spans="1:7" ht="69" customHeight="1" x14ac:dyDescent="0.25">
      <c r="A10" s="119" t="s">
        <v>132</v>
      </c>
      <c r="B10" s="119"/>
      <c r="C10" s="119"/>
      <c r="D10" s="119"/>
      <c r="E10" s="119"/>
      <c r="F10" s="119"/>
      <c r="G10" s="119"/>
    </row>
    <row r="11" spans="1:7" ht="36.75" customHeight="1" x14ac:dyDescent="0.25">
      <c r="A11" s="119" t="s">
        <v>133</v>
      </c>
      <c r="B11" s="119"/>
      <c r="C11" s="119"/>
      <c r="D11" s="119"/>
      <c r="E11" s="119"/>
      <c r="F11" s="119"/>
      <c r="G11" s="119"/>
    </row>
    <row r="12" spans="1:7" ht="14" x14ac:dyDescent="0.25">
      <c r="A12" s="120" t="s">
        <v>134</v>
      </c>
      <c r="B12" s="120"/>
      <c r="C12" s="120"/>
      <c r="D12" s="120"/>
      <c r="E12" s="120"/>
      <c r="F12" s="120"/>
      <c r="G12" s="120"/>
    </row>
  </sheetData>
  <mergeCells count="10">
    <mergeCell ref="A1:G1"/>
    <mergeCell ref="A2:G2"/>
    <mergeCell ref="A9:G9"/>
    <mergeCell ref="A10:G10"/>
    <mergeCell ref="A12:G12"/>
    <mergeCell ref="D5:D6"/>
    <mergeCell ref="E5:E6"/>
    <mergeCell ref="F5:F6"/>
    <mergeCell ref="A11:G11"/>
    <mergeCell ref="C5:C7"/>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zoomScaleNormal="100" workbookViewId="0">
      <selection sqref="A1:B1"/>
    </sheetView>
  </sheetViews>
  <sheetFormatPr defaultColWidth="9.1796875" defaultRowHeight="15.5" x14ac:dyDescent="0.35"/>
  <cols>
    <col min="1" max="1" width="22.1796875" style="1" customWidth="1"/>
    <col min="2" max="3" width="82.81640625" style="1" customWidth="1"/>
    <col min="4" max="16384" width="9.1796875" style="1"/>
  </cols>
  <sheetData>
    <row r="1" spans="1:3" s="2" customFormat="1" ht="14" x14ac:dyDescent="0.3">
      <c r="A1" s="91" t="s">
        <v>135</v>
      </c>
      <c r="B1" s="91"/>
    </row>
    <row r="2" spans="1:3" s="2" customFormat="1" ht="38.25" customHeight="1" x14ac:dyDescent="0.3">
      <c r="A2" s="93" t="s">
        <v>136</v>
      </c>
      <c r="B2" s="93"/>
      <c r="C2" s="29"/>
    </row>
    <row r="3" spans="1:3" s="2" customFormat="1" ht="187.5" customHeight="1" x14ac:dyDescent="0.3">
      <c r="A3" s="126" t="s">
        <v>137</v>
      </c>
      <c r="B3" s="127"/>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6" ma:contentTypeDescription="Izveidot jaunu dokumentu." ma:contentTypeScope="" ma:versionID="294358c66a6ea209c21da8c0f314d228">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f19ce84da3350ff3f370ee9d260b4ff3"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5960F-5A6E-4E10-984B-BEE0156B80A3}">
  <ds:schemaRefs>
    <ds:schemaRef ds:uri="http://schemas.microsoft.com/sharepoint/v3/contenttype/forms"/>
  </ds:schemaRefs>
</ds:datastoreItem>
</file>

<file path=customXml/itemProps2.xml><?xml version="1.0" encoding="utf-8"?>
<ds:datastoreItem xmlns:ds="http://schemas.openxmlformats.org/officeDocument/2006/customXml" ds:itemID="{35ADCE5E-736F-4635-9E67-9641B1D376D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C1F02FF-CADE-4D8F-A52F-613C376A0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4.1. pielikums</vt:lpstr>
      <vt:lpstr>4.2. pielikums</vt:lpstr>
      <vt:lpstr>4.3. pielikums</vt:lpstr>
      <vt:lpstr>4.4. pielikums</vt:lpstr>
      <vt:lpstr>4.5. pielikums</vt:lpstr>
      <vt:lpstr>4.6. pielikums</vt:lpstr>
      <vt:lpstr>4.7. pielikums</vt:lpstr>
      <vt:lpstr>'4.2.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dcterms:created xsi:type="dcterms:W3CDTF">2012-09-03T07:32:21Z</dcterms:created>
  <dcterms:modified xsi:type="dcterms:W3CDTF">2022-09-27T07:42:50Z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