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7 (inflācija)\"/>
    </mc:Choice>
  </mc:AlternateContent>
  <xr:revisionPtr revIDLastSave="0" documentId="13_ncr:1_{BD4A8195-4238-461E-8B0A-6CA397CDFD7C}" xr6:coauthVersionLast="47" xr6:coauthVersionMax="47" xr10:uidLastSave="{00000000-0000-0000-0000-000000000000}"/>
  <bookViews>
    <workbookView xWindow="-110" yWindow="-110" windowWidth="19420" windowHeight="10420" firstSheet="1" activeTab="1" xr2:uid="{00000000-000D-0000-FFFF-FFFF00000000}"/>
  </bookViews>
  <sheets>
    <sheet name="1.1. pielikums" sheetId="1" r:id="rId1"/>
    <sheet name="1.2. pielikums" sheetId="2" r:id="rId2"/>
    <sheet name="1.3. pielikums" sheetId="3" r:id="rId3"/>
    <sheet name="1.4. pielikums" sheetId="4" r:id="rId4"/>
    <sheet name="1.5. pielikums" sheetId="5" r:id="rId5"/>
    <sheet name="1.6. pielikums" sheetId="6" r:id="rId6"/>
    <sheet name="1.7. pielikums" sheetId="7" r:id="rId7"/>
  </sheets>
  <definedNames>
    <definedName name="_xlnm.Print_Titles" localSheetId="1">'1.2. pielikums'!$3:$3</definedName>
    <definedName name="_xlnm.Print_Titles" localSheetId="6">'1.7. pielikums'!$3:$4</definedName>
    <definedName name="Z_BE8ADE53_8BEB_4C68_A52B_650D06D579FF_.wvu.PrintTitles" localSheetId="1" hidden="1">'1.2. pielikums'!$3:$3</definedName>
    <definedName name="Z_BE8ADE53_8BEB_4C68_A52B_650D06D579FF_.wvu.PrintTitles" localSheetId="6" hidden="1">'1.7. pielikums'!$3:$4</definedName>
    <definedName name="Z_CC63F85D_63B9_4AE4_A28C_227DAE744DBC_.wvu.PrintTitles" localSheetId="1" hidden="1">'1.2. pielikums'!$3:$3</definedName>
    <definedName name="Z_CC63F85D_63B9_4AE4_A28C_227DAE744DBC_.wvu.PrintTitles" localSheetId="6" hidden="1">'1.7. pielikums'!$3:$4</definedName>
    <definedName name="Z_DD9369C5_0AB7_4492_8028_68BB156F28A4_.wvu.PrintTitles" localSheetId="1" hidden="1">'1.2. pielikums'!$3:$3</definedName>
    <definedName name="Z_DD9369C5_0AB7_4492_8028_68BB156F28A4_.wvu.PrintTitles" localSheetId="6" hidden="1">'1.7. pielikums'!$3:$4</definedName>
  </definedNames>
  <calcPr calcId="181029"/>
  <customWorkbookViews>
    <customWorkbookView name="Vjaceslavs Makarovs - Personal View" guid="{CC63F85D-63B9-4AE4-A28C-227DAE744DBC}" mergeInterval="0" personalView="1" maximized="1" xWindow="-8" yWindow="-8" windowWidth="1936" windowHeight="1056" activeSheetId="2"/>
    <customWorkbookView name="Lilita Cirule - Personal View" guid="{BE8ADE53-8BEB-4C68-A52B-650D06D579FF}" mergeInterval="0" personalView="1" xWindow="5" windowWidth="1915" windowHeight="1160" activeSheetId="2"/>
    <customWorkbookView name="Elvira Grabovska - Personal View" guid="{DD9369C5-0AB7-4492-8028-68BB156F28A4}" mergeInterval="0" personalView="1" maximized="1" xWindow="-8" yWindow="-8" windowWidth="1936" windowHeight="1056" activeSheetId="1"/>
  </customWorkbookViews>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 i="3" l="1"/>
  <c r="F7" i="3" s="1"/>
  <c r="F6" i="3"/>
  <c r="C30" i="2"/>
  <c r="C28" i="2"/>
  <c r="C27" i="2"/>
  <c r="C26" i="2"/>
  <c r="C25" i="2"/>
  <c r="C24" i="2"/>
  <c r="C23" i="2"/>
  <c r="C22" i="2"/>
  <c r="C21" i="2"/>
  <c r="F28" i="7"/>
  <c r="F29" i="7" s="1"/>
  <c r="F24" i="7"/>
  <c r="F25" i="7" s="1"/>
  <c r="F26" i="7" s="1"/>
  <c r="F16" i="7"/>
  <c r="F17" i="7" s="1"/>
  <c r="F18" i="7" s="1"/>
  <c r="F19" i="7" s="1"/>
  <c r="F6" i="7"/>
  <c r="F12" i="7"/>
  <c r="F13" i="7" s="1"/>
  <c r="F14" i="7" s="1"/>
  <c r="D13" i="2"/>
  <c r="D14" i="2" s="1"/>
  <c r="D15" i="2" s="1"/>
  <c r="D16" i="2" s="1"/>
  <c r="D17" i="2" s="1"/>
  <c r="D18" i="2" s="1"/>
  <c r="D19" i="2" s="1"/>
  <c r="C12" i="2" s="1"/>
  <c r="D6" i="2"/>
  <c r="D7" i="2" s="1"/>
  <c r="F30" i="7" l="1"/>
  <c r="F31" i="7" s="1"/>
  <c r="F32" i="7" s="1"/>
  <c r="F33" i="7" s="1"/>
  <c r="D8" i="2"/>
  <c r="D9" i="2" s="1"/>
  <c r="D10" i="2" s="1"/>
  <c r="D11" i="2" s="1"/>
  <c r="C5" i="2" s="1"/>
  <c r="C4" i="2" s="1"/>
  <c r="A21" i="2" l="1"/>
  <c r="A22" i="2"/>
  <c r="A23" i="2"/>
  <c r="A24" i="2"/>
  <c r="A25" i="2"/>
  <c r="A26" i="2"/>
  <c r="A27" i="2"/>
  <c r="E34" i="7" l="1"/>
  <c r="F34" i="7" s="1"/>
  <c r="D6" i="3"/>
  <c r="E6" i="3" s="1"/>
  <c r="D5" i="3"/>
  <c r="D7" i="3" s="1"/>
  <c r="C7" i="3"/>
  <c r="D7" i="5"/>
  <c r="E7" i="5" s="1"/>
  <c r="E7" i="7"/>
  <c r="E6" i="7"/>
  <c r="AA17" i="4"/>
  <c r="AB17" i="4"/>
  <c r="AC17" i="4"/>
  <c r="AD17" i="4"/>
  <c r="AE17" i="4"/>
  <c r="AF17" i="4"/>
  <c r="AG17" i="4"/>
  <c r="AH17" i="4"/>
  <c r="Z17" i="4"/>
  <c r="Y17" i="4"/>
  <c r="V17" i="4"/>
  <c r="AI8" i="4"/>
  <c r="AI9" i="4"/>
  <c r="AI10" i="4"/>
  <c r="AI11" i="4"/>
  <c r="AI12" i="4"/>
  <c r="AI13" i="4"/>
  <c r="AI14" i="4"/>
  <c r="AI15" i="4"/>
  <c r="AI16" i="4"/>
  <c r="AI6" i="4"/>
  <c r="AI5" i="4"/>
  <c r="X5" i="4"/>
  <c r="AJ7" i="4"/>
  <c r="D5" i="5"/>
  <c r="E5" i="5" s="1"/>
  <c r="D6" i="5"/>
  <c r="G7" i="7"/>
  <c r="E8" i="7"/>
  <c r="G8" i="7" s="1"/>
  <c r="E20" i="7"/>
  <c r="E21" i="7"/>
  <c r="G21" i="7" s="1"/>
  <c r="E35" i="7"/>
  <c r="G35" i="7" s="1"/>
  <c r="M5" i="4"/>
  <c r="M6" i="4"/>
  <c r="X6" i="4"/>
  <c r="M8" i="4"/>
  <c r="X8" i="4"/>
  <c r="M9" i="4"/>
  <c r="X9" i="4"/>
  <c r="M10" i="4"/>
  <c r="X10" i="4"/>
  <c r="M11" i="4"/>
  <c r="X11" i="4"/>
  <c r="M12" i="4"/>
  <c r="X12" i="4"/>
  <c r="M13" i="4"/>
  <c r="X13" i="4"/>
  <c r="M14" i="4"/>
  <c r="X14" i="4"/>
  <c r="M15" i="4"/>
  <c r="X15" i="4"/>
  <c r="M16" i="4"/>
  <c r="X16" i="4"/>
  <c r="C17" i="4"/>
  <c r="D17" i="4"/>
  <c r="E17" i="4"/>
  <c r="F17" i="4"/>
  <c r="G17" i="4"/>
  <c r="H17" i="4"/>
  <c r="I17" i="4"/>
  <c r="J17" i="4"/>
  <c r="K17" i="4"/>
  <c r="L17" i="4"/>
  <c r="N17" i="4"/>
  <c r="O17" i="4"/>
  <c r="P17" i="4"/>
  <c r="Q17" i="4"/>
  <c r="R17" i="4"/>
  <c r="S17" i="4"/>
  <c r="T17" i="4"/>
  <c r="U17" i="4"/>
  <c r="W17" i="4"/>
  <c r="G20" i="7" l="1"/>
  <c r="F20" i="7"/>
  <c r="F35" i="7"/>
  <c r="G34" i="7"/>
  <c r="F21" i="7"/>
  <c r="AJ11" i="4"/>
  <c r="AJ6" i="4"/>
  <c r="AJ15" i="4"/>
  <c r="AJ5" i="4"/>
  <c r="AJ16" i="4"/>
  <c r="AJ8" i="4"/>
  <c r="E5" i="3"/>
  <c r="X17" i="4"/>
  <c r="AI17" i="4"/>
  <c r="G5" i="5"/>
  <c r="AJ10" i="4"/>
  <c r="AJ14" i="4"/>
  <c r="AJ12" i="4"/>
  <c r="AJ9" i="4"/>
  <c r="AJ13" i="4"/>
  <c r="M17" i="4"/>
  <c r="F36" i="7" l="1"/>
  <c r="G36" i="7"/>
  <c r="G37" i="7" s="1"/>
  <c r="G38" i="7" s="1"/>
  <c r="F37" i="7"/>
  <c r="F38" i="7" s="1"/>
  <c r="E7" i="3"/>
  <c r="AJ17" i="4"/>
  <c r="C29" i="2"/>
  <c r="C20" i="2" l="1"/>
  <c r="B31" i="2" s="1"/>
</calcChain>
</file>

<file path=xl/sharedStrings.xml><?xml version="1.0" encoding="utf-8"?>
<sst xmlns="http://schemas.openxmlformats.org/spreadsheetml/2006/main" count="338" uniqueCount="178">
  <si>
    <t>Aprēķins</t>
  </si>
  <si>
    <t>Pakalpojuma izmaksas kopā</t>
  </si>
  <si>
    <t>X</t>
  </si>
  <si>
    <t>aprūpētājs</t>
  </si>
  <si>
    <t>Saimniecības un higiēnas preces</t>
  </si>
  <si>
    <t>Ar administrēšanas darbību saistītie izdevumi (darba aizsardzība, bankas pakalpojumi utt.)</t>
  </si>
  <si>
    <t>Atlīdzības izmaksas kopā</t>
  </si>
  <si>
    <t xml:space="preserve">Speciālistu (slodžu) skaits </t>
  </si>
  <si>
    <t>Sakaru pakalpojumi (telefons, internets, pasts)</t>
  </si>
  <si>
    <t xml:space="preserve">Plānotais klientu skaits </t>
  </si>
  <si>
    <t xml:space="preserve"> Slodze</t>
  </si>
  <si>
    <t>Fiksētais tālrunis</t>
  </si>
  <si>
    <t>Mobilais tālrunis</t>
  </si>
  <si>
    <t>Drošības pogas iekārtu ar fiksētās tālruņu līnijas pieslēgumu iegāde (ar PVN un piegādi)</t>
  </si>
  <si>
    <t>Iekārtu iegāde</t>
  </si>
  <si>
    <t>Vienības</t>
  </si>
  <si>
    <t>36 mēneši/                 3 gadi</t>
  </si>
  <si>
    <t>1 pieslēgums mēnesī</t>
  </si>
  <si>
    <t>Vadītājs</t>
  </si>
  <si>
    <t>Centrāles darba  nodrošinājuma izmaksas  (telefons, telpas, tehnika, komunālās izmaksas u.c. )</t>
  </si>
  <si>
    <t>1 mēnesis</t>
  </si>
  <si>
    <t>Reģionālie "Drošības pogas" pakalpojumu centri (vienā centrā apkalpo vidēji 200 klientus)</t>
  </si>
  <si>
    <t>Aprūpe mājās</t>
  </si>
  <si>
    <t>Pakalpojuma mērķis</t>
  </si>
  <si>
    <t xml:space="preserve">Pakalpojumi klienta mājās pamatvajadzību apmierināšanai personām, kuras objektīvu apstākļu dēļ nevar sevi aprūpēt. </t>
  </si>
  <si>
    <t>Pakalpojuma saņemšanas nosacījumi</t>
  </si>
  <si>
    <t>Pakalpojuma apjoms</t>
  </si>
  <si>
    <t>Aprēķinu paskaidrojums</t>
  </si>
  <si>
    <t>Pienākumu apraksts</t>
  </si>
  <si>
    <t>Izdevumu pozīcija</t>
  </si>
  <si>
    <t>AM1</t>
  </si>
  <si>
    <t>AM2</t>
  </si>
  <si>
    <t>AM3</t>
  </si>
  <si>
    <t>AM4</t>
  </si>
  <si>
    <t>AM5</t>
  </si>
  <si>
    <t>AM6</t>
  </si>
  <si>
    <t>AM7</t>
  </si>
  <si>
    <t>AM8</t>
  </si>
  <si>
    <t>AM9</t>
  </si>
  <si>
    <t>AM10</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</si>
  <si>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</si>
  <si>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</si>
  <si>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</si>
  <si>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</si>
  <si>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</si>
  <si>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Inventārs, inventāra remonts (materiāli un pakalpojums)</t>
  </si>
  <si>
    <t xml:space="preserve">Pakalpojums </t>
  </si>
  <si>
    <t xml:space="preserve">Datu avoti </t>
  </si>
  <si>
    <t>Informācija par sociālo pakalpojumu sniedzējiem, kuru sniegtā informācija tika analizēta veidojot pakalpojuma "Aprūpe mājās"  izmaksas</t>
  </si>
  <si>
    <t>Iekārtas iegādājās mazāk nekā 500 gab. un tās  apkalpo maksimāli 1000 klientus</t>
  </si>
  <si>
    <t>Aprēķini/paskaidrojums</t>
  </si>
  <si>
    <t>1 mēnesis/ 1000 klienti</t>
  </si>
  <si>
    <t>1 mēnesis/ 200 klienti</t>
  </si>
  <si>
    <t>5 gadi/            60 mēneši/ 200 klienti</t>
  </si>
  <si>
    <t>7 gadi/                  84 mēneši/ 1000 klienti</t>
  </si>
  <si>
    <t>Zvanu centra (Centrāles) nodrošinājums līdz 1000 klientiem</t>
  </si>
  <si>
    <t>Amatu apraksts</t>
  </si>
  <si>
    <t>Kancelejas preces un biroja preces</t>
  </si>
  <si>
    <t>Izmaksas mēnesī, euro</t>
  </si>
  <si>
    <t>Kopējās veselības apdrošināšanas izmaksas gadā, euro*</t>
  </si>
  <si>
    <t>4=3*213.43 euro</t>
  </si>
  <si>
    <t>5=4/2</t>
  </si>
  <si>
    <t xml:space="preserve">Darba devēja apmaksātie veselības apdrošināšanas izdevumi </t>
  </si>
  <si>
    <t>1.3. pielikums</t>
  </si>
  <si>
    <t>1.2. pielikums</t>
  </si>
  <si>
    <t>1.4. pielikums</t>
  </si>
  <si>
    <t>1.5. pielikums</t>
  </si>
  <si>
    <t>* Visi aprēķini veidoti pēc vienīgā pakalpojuma sniedzēja biedrības "Latvijas Samariešu apvienība" sniegtās informācijas par faktiskajiem izdevumiem.</t>
  </si>
  <si>
    <t>1.6. pielikums</t>
  </si>
  <si>
    <t>Ar pakalpojuma  administrēšanu, prasību nodrošināšanu un uzturēšanu saistītās izmaksas kopā</t>
  </si>
  <si>
    <t>GSM pieslēgums – telefona karte, abonēšana un sarunas (vidēji)</t>
  </si>
  <si>
    <t>Zvanu centra personāla resursi – komunikācija (centrāles  personāla izmaksas)</t>
  </si>
  <si>
    <t>Telpas Rīgā, Visbijas prospektā 18 kopējā platība 978.2 m2, Zvanu centrs 60 m2 (t.i, 6.13 % no kopējās platības).  Attiecināmās izmaksas 6.13 % no kopējām izmaksām ir 750 euro mēnesī (t.sk.: (1) telpu un zemes noma – 69.16 euro; (2) apkure – 61.97 euro; (3) elektroenerģija – 20.52 euro;  (4) komunālie paklpojumi – 13.21 euro; (5) centrāles sakaru pakalpojumi (8 tālruņa līnijas) – 220.34 euro; (6) transporta izdevumi: amorizācija – 71.66 euro; (7) degviela – 218.73 euro;  (8) remonts – 46.46 euro; (9) autopreces – 14.00 euro; (10) stāvvietas, teh.apskate – 13.95 euro.</t>
  </si>
  <si>
    <t>Centrāles iegāde uzturēšana, programmatūras atjaunošana – pārjaunošana</t>
  </si>
  <si>
    <t>Vadītājs/tehniķis – informācija, procesa organizācija, klientu informēšana, klientu lietas, sadarbība ar pašvaldībām, tehniskās funkcijas, programmēšana  u.c.</t>
  </si>
  <si>
    <t>Reģionālā centra aprīkojuma nodrošinājums – automašīna, palīgierīces transportēšanai,  PP materiāli, spectērpi, u.c.</t>
  </si>
  <si>
    <t>Pakalpojuma nodrošināšnas ikdienas izdevumi – degviela, telpas, komunikācija, dokumenti u.c.</t>
  </si>
  <si>
    <t>Pienākumi: (1) organizē centrāles darbu un nodrošina Zvanu centra vispārējo funkcionalitāti; (2) izstrādā un saskaņo darbinieku darba grafikus, veic darba laika uzskaiti u.c. uzdevumus; (3) organizē tehnisko resursu iegādi, uzskaiti, t.sk. drošības pogu uzskaiti,  uzglabāšanu un izsniegšanu; (4) plāno resursu efektīvu izmantošanu, organizē un veic drošības pogu pieslēgumus; (5) veic klientu lietās esošo dokumentu termiņu kontroli un aktuālo dokumentu iegūšanai nepieciešamo koordināciju; (6) uzglabā un uztur Drošības pogas pakalpojuma klientu lietas.</t>
  </si>
  <si>
    <t>Nr. p.k.</t>
  </si>
  <si>
    <t xml:space="preserve">Drošības pogas iekārtu ar mobilo (GSM) tālruņu līnijas pieslēgumu iegāde (ar PVN un piegādi) </t>
  </si>
  <si>
    <t>Supervīzija</t>
  </si>
  <si>
    <t>4=2/3</t>
  </si>
  <si>
    <t>Speciālists</t>
  </si>
  <si>
    <t>Institūcijas un struktūrvienības vadītājs</t>
  </si>
  <si>
    <t>Pārējie darbinieki</t>
  </si>
  <si>
    <t>Supervīzijas izmaksas par darba stundu (viens darbinieks)</t>
  </si>
  <si>
    <t>Vidējās supervīzijas izmaksas par darba stundu (viens darbinieks)</t>
  </si>
  <si>
    <t>1.7. pielikums</t>
  </si>
  <si>
    <t>Supervīzijas izmaksu aprēķins pakalpojumam "Aprūpe mājās"</t>
  </si>
  <si>
    <t>5=4 (vidējais)</t>
  </si>
  <si>
    <t>aprūpētāja darba kordinators</t>
  </si>
  <si>
    <t>Pakalpojuma "Aprūpe mājās" apraksts</t>
  </si>
  <si>
    <t>Lai klients saņemtu pakalpojumu, sociālais dienests izvērtē klienta funkcionālo spēju traucējuma pakāpi, nosaka klienta aprūpes līmeni un nepieciešamo aprūpes mājās pakalpojumu apjomu (veicamos darbus un darbu apjomu).</t>
  </si>
  <si>
    <t xml:space="preserve">Pakalpojuma sniedzējs aprūpes mājās (regulārā) pakalpojuma ietvaros saskaņā ar 2017. gada 13. jūnija noteikumiem Nr. 338 "Prasības sociālo pakalpojumu sniedzējiem" 16. punktu nodrošina klientam personisko atbalstu un palīdzību šādu darbību veikšanā: 
- palīdzība personiskās higiēnas nodrošināšanā (piemēram, mazgāšanās, inkontinences līdzekļu nomaiņa, ķemmēšanās, skūšanās, protēžu kopšana), neiekļaujot podologa pakalpojumus;
- palīdzība apģērbties un noģērbties,  gultas veļas nomaiņa u. tml; 
- palīdzība iekļūt un izkļūt no gultas, pozicionēšana un pārvietošanās;
- ēdiena gatavošana un palīdzība ēdot;
- pārtikas produktu, medikamentu un citu sīku preču piegāde;
- palīdzība mājvietas uzkopšanā (piemēram, trauku mazgāšana, telpu mitrā uzkopšana, sadzīves atkritumu iznešana, grīdas mazgāšana);
- ārstniecības personas izsaukšana, atbalsts medikamentu lietošanā, palīdzība sadarbībā ar dažādām institūcijām (piemēram, rēķinu nomaksā);
- kurināmā piegāde telpās, krāsns kurināšana;
- citi darbi atbilstoši noslēgtajam līgumam.
Ja klienta funkcionālais stāvoklis ir mainīgs un regulāra aprūpe nav nepieciešama, bet pastāv iespēja nonākt bezpalīdzīgā stāvoklī, aprūpes mājās pakalpojuma sniedzējs nodrošina aprūpi mājās pēc īpaša izsaukuma – "drošības poga" –, organizējot pasākumus atbilstoši vajadzībai un noslēgtajam līgumam. Minētā pakalpojuma ietvaros klientam nodrošina saziņas iekārtu nodošanu klienta lietošanā uz pakalpojuma sniegšanas laiku, to apkopi, centrāles tehnisko nodrošinājumu un darbinieku gatavību pieņemt "drošības pogas" signālu no klienta 24 stundas diennaktī. </t>
  </si>
  <si>
    <t>Klientam nepieciešamais pakalpojuma apjoms tiek pielāgots individuāli, atbilstoši katra klienta vajadzībām. Pastāvot dažādām līmeņu noteikšanas un pakalpojuma apjoma aprēķināšanas sistēmām dažādās pašvaldībās, vidēji vienam klientam tiek nodrošināta aprūpe: 
• pirmajam aprūpes līmenim – līdz 4 stundām nedēļā;
• otrajam aprūpes līmenim – līdz 8 stundām nedēļā;
• trešajam aprūpes līmenim – līdz 12 stundām nedēļā;
• ceturtajam aprūpes līmenim – līdz 25 stundām nedēļā.</t>
  </si>
  <si>
    <t xml:space="preserve">Aprūpētāju darba koordinātors koordinē 100 aprūpētāju darbu un 400 klientus. Pienākumi: (1) nodrošina informācijas apmaiņu un dokumentu apriti dokumentu pārraudzību (termiņu kontrole); (2) kārto un uztur klientu lietas, nodrošinot aprūpes dokumentācijas – līgumu, aktuālo aprūpes plānu, aprūpes darba uzskaites veidlapu kvalitātes novērtējuma un citu iekļaušanu tajās; (3) sadarbībā ar sociālo darbinieku vai sociālo aprūpētāju veic klienta pirmreizējo apsekošanu; (4) sastāda aprūpētāju darba grafikus, seko to ievērošanai un veic darba laika uzskaiti; (5) organizē aprūpētāju sapulces; (6) pārzina aprūpētāja darba pienākumus un darbā pielietojamās metodes; (7) nepieciešamības gadījumā veic aprūpētāja darba pienākumus. </t>
  </si>
  <si>
    <t>Veselības apdrošināšanas izmaksu aprēķins pakalpojumam "Aprūpe mājās"</t>
  </si>
  <si>
    <t>Darbinieku skaits</t>
  </si>
  <si>
    <t>7=5*6</t>
  </si>
  <si>
    <t>Pakalpojuma "Aprūpe mājās" sniedzēju izmaksu apkopojums un vidējo izmaksu aprēķins</t>
  </si>
  <si>
    <t>Kopā:</t>
  </si>
  <si>
    <t>Pakalpojuma saturs</t>
  </si>
  <si>
    <t>Vidējās izmaksas aprēķinātas saskaņā ar 10 AM iesniegtajām izmaksu tāmēm par 2014., 2015. un 2016. gadu. Aprēķinus skat. 1.4. pielikumā.</t>
  </si>
  <si>
    <t>Aprēķinu skat. 1.3. pielikumā.</t>
  </si>
  <si>
    <t>Veselības apdrošināšanas izmaksas par 1 klientu/gadā, euro</t>
  </si>
  <si>
    <t>Veselības apdrošināšanas izmaksas par 1 klientu/h, euro</t>
  </si>
  <si>
    <t>Speciālisti</t>
  </si>
  <si>
    <t>Izmaksas par vienu klientu stundā 2014. gadā, euro</t>
  </si>
  <si>
    <t>Izmaksas par vienu klientu stundā 2015. gadā, euro</t>
  </si>
  <si>
    <t>Izmaksas par vienu klientu stundā 2016. gadā, euro</t>
  </si>
  <si>
    <r>
      <t xml:space="preserve">Saskaņā ar pakalpojumu sniedzēja sniegto informāciju par izmaksām – cena: 
140.80 euro + 21 % (PVN) + 1 euro (par piegādi) </t>
    </r>
    <r>
      <rPr>
        <sz val="11"/>
        <rFont val="Times New Roman"/>
        <family val="1"/>
        <charset val="186"/>
      </rPr>
      <t>= 140.80 euro + 29.57 euro (PVN) + 1 euro (par piegādi) = 171.37 euro.</t>
    </r>
  </si>
  <si>
    <t>Pienākumi : dežūrē centrālē – (1) sniedz konsultācijas un reaģē uz klientu zvaniem un trauksmes signāliem; (2) sniedz informāciju par pakalpojumiem, cenām, iespējām pa telefonu un citām sakaru sistēmām; (3) aizpilda reģistrācijas žurnālus un veic ierakstus datu uzskaites programmās.</t>
  </si>
  <si>
    <t>1.1. pielikums</t>
  </si>
  <si>
    <t>Izmaksas par 1 klientu stundā</t>
  </si>
  <si>
    <t>Aprēķinu skat. 1.5. pielikumā.
Obligātās supervīzijas prasības sociālo pakalpojumu sniedzējiem noteiktas MK 13.06.2017. noteikumu Nr. 338 9.2. apakšpunktā un 186. punktā.</t>
  </si>
  <si>
    <t>Telpu īres izmaksas, komunālie pakalpojumi (apkure, ūdens un kanalizācija, elektrība, gāze, atkritumu izvešana) un uzturēšanas pakalpojumi (apdrošināšana, signalizācijas sistēmu uzstādīšana, remontdarbu pakalpojumi).</t>
  </si>
  <si>
    <t>Izmaksas par vienību, euro</t>
  </si>
  <si>
    <t>LMT pieslēguma abonēšana = 0.86 euro, sarunas ar klientu vidēji mēnesī = 1.64 euro.</t>
  </si>
  <si>
    <t>Saskaņā ar pakalpojumu sniedzēja sniegto informāciju par izmaksām – vienas vienības cena:
1) 237 euro + 21 % (PVN) + 1 euro (par piegādi) = 286.77 euro +1 euro par piegādi = 287.77 euro.</t>
  </si>
  <si>
    <t>Saskaņā ar pakalpojumu sniedzēja sniegto informāciju par izmaksām.</t>
  </si>
  <si>
    <t>Pienākumi: organizē informācijas, procesa organizācijas, klientu informēšanas, klientu lietu, sadarbības ar pašvaldībām, tehniskās funkcijas, programmēšana u.c. funkcijas.</t>
  </si>
  <si>
    <t>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 Izbraukumos aprūpē klientus viņu dzīves vietā: dežūras laikā ārkārtas izsaukumus realizē nekavējoties; nepieciešamības gadījumā sniedz pirmo palīdzību; gadījumos, kad klientam nepieciešama neatliekamā medicīniskā palīdzība, nekavējoties izsauc neatliekamo medicīnisko palīdzību.</t>
  </si>
  <si>
    <t>Transports ar aprīkojumu: Amortizācija 385.13 euro, PP aprīkojums 6.99 euro, speciālais apģērbs 17.05 euro.
1) 385.13 euro + 6.99 euro + 17.05 euro = 409.17 euro/mēn.
2) 409.17 euro / 200 klientiem = 2.05 euro/mēn. (par 1 klientu).</t>
  </si>
  <si>
    <t>Degviela 430.75 euro; telpu noma; 160.00 euro; sakru pakalpojumi 159.45 euro; kancelejas preces 19.80 euro.
1) 430.75 euro + 160 euro + 159.45 euro + 19.80 euro = 770 euro/mēn.
2) 770 euro / 200 klientiem = 3.85 euro/mēn. (par 1 klientu).</t>
  </si>
  <si>
    <t>Administrēšanas izmaksas 10 % no pakalpojuma izmaksām</t>
  </si>
  <si>
    <t>-</t>
  </si>
  <si>
    <t>Atlīdzība [1]</t>
  </si>
  <si>
    <t>Ēdināšanas izdevumi [2]</t>
  </si>
  <si>
    <t>Mācību materiāli un līdzekļi [2]</t>
  </si>
  <si>
    <t xml:space="preserve">[2] Ēdināšanas, mācību materiālu un līdzekļu izdevumi netiek iekļauti vienas vienības likmes aprēķinā. Saskaņā ar Sociālo pakalpojumu un sociālās palīdzības likuma 1. panta 1. punktu aprūpe mājās ir pakalpojumi mājās pamatvajadzību apmierināšanai personām, kuras objektīvu apstākļu dēļ nevar sev (piemēram,  palīdzību personīgās higiēnas nodrošināšanā, palīdzību apģērbties un noģērbties, gultas veļas nomaiņu, palīdzību iekļūt gultā un izkļūt no tās, pozicionēšanu un pārvietošanos, ēdiena gatavošanu un palīdzību paēst, pārtikas produktu, medikamentu un citu sīkpreču piegādi, palīdzību mājvietas uzkopšanā, ārstniecības personas izsaukšanu, atbalstu medikamentu lietošanā, palīdzību sadarbībā ar dažādām institūcijām, kurināmā piegādi telpās, krāsns kurināšanu u.c.), bet  nesedz izdevumus un  nenodrošina pakalpojumus, kas veidojas klientam viņa personīgo vajadzību apmierināšanai - ēdiens, apģērbs, izglītība. Minētos pakalpojumus vai atbalstu to saņemšanā aprūpes mājās klients, tāpat kā jebkurš cits Latvijas iedzīvotājs un izmanto citus resursus - izglītības sistēmas pakalpojumus, cita veida sociālos pakalpojumus un sociālo palīdzību, atbilstoši ārējiem normatīvajiem aktiem un pašvaldības saistošajos noteikumos noteiktajai kārtībai.  </t>
  </si>
  <si>
    <t>Vidēji 2014.</t>
  </si>
  <si>
    <t>Vidēji 2015.</t>
  </si>
  <si>
    <t>Vidēji 2016.</t>
  </si>
  <si>
    <t>Vidējais (kopā)</t>
  </si>
  <si>
    <t>Supervīzijas cena vienam darbiniekam, euro/gadā [1]</t>
  </si>
  <si>
    <t>[1] Supervīzijas cena vienam darbiniekam (euro/gadā) noteikta atbilstoši MK 13.06.2017. noteikumu Nr. 338 "Prasības sociālo pakalpojumu sniedzējiem"  sākotnējās ietekmes novērtējuma ziņojuma (anotācijai) 6. pielikuma "Supervīzijas cenas aprēķins vienam darbiniekam" aprēķinam.</t>
  </si>
  <si>
    <t xml:space="preserve">Darba laiks gadā [2] </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</si>
  <si>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</si>
  <si>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Vidējās supervīzijas izmaksas par darba stundu (divi darbinieki) [3]</t>
  </si>
  <si>
    <t>[3] Vidējās supervīzijas izmaksas darba stundā aprēķinātas diviem darbiniekiem, ņemot vērā, ka vienības izmaksu standarta likmes aprēķinā pieņemts, ka pakalpojumu nodrošina divi darbinieki.</t>
  </si>
  <si>
    <t>Sociālā darba speciālists [4]</t>
  </si>
  <si>
    <t>[4] Sociālā darba speciālisti - sociālais darbinieks, sociālais rehabilitētājs un sociālais aprūpētājs.</t>
  </si>
  <si>
    <t>Ņemot vērā, ka Sociālo pakalpojumu sniedzēju reģistrā ir reģistrēti tikai daži aprūpes mājās pakalpojumu sniedzēji, kuriem ir reģistrēta klientu grupa - personas ar garīga rakstura traucējumiem un pilngadīgas personas vai visu vecumu personas, kas nav pietiekami analīzei par pakalpojuma vidējām izmaksām, aprūpes mājās pakalpojums izmaksas tika iegūtas no tām pašvaldībām/ pakalpojumu sniedzējiem, kuras sniedza informāciju par dienas aprūpes centru, grupu māju vai specilalizēto darbnīcu pakalpojumu izmaksām (kopā 9 pakalpojumu sniedzējiem), t.sk.:
1) Rīgas plānošanas reģions – biedrība "Latvijas Samariešu apvienība" Rīga, biedrība "Latvijas Sarkanais Krusts" Rīga, SIA  "Mājas aprūpe" Rīga, biedrība "Svētā Jāņa palīdzība" Rīga, SIA "Pirmais patronāžas serviss" Rīga; pašvaldības aģentūras "Jūrmalas sociālās aprūpes centrs" Jūrmala;
2) Zemgales plānošanas reģions – pašvaldību iestādes "Jelgavas sociālo lietu pārvalde" Jelgavā, Aknīstes novada Sociālais dienests Aknīstes novadā;   
3) Kurzemes plānošanas reģions – Liepājas pilsētas domes Sociālā dienests Liepājā; 
4) Vidzemes plānošanas reģions – Valmieras pilsētas Sociālais dienests Valmiera.</t>
  </si>
  <si>
    <r>
      <t>P</t>
    </r>
    <r>
      <rPr>
        <b/>
        <sz val="11"/>
        <color indexed="8"/>
        <rFont val="Times New Roman"/>
        <family val="1"/>
        <charset val="186"/>
      </rPr>
      <t>akalpojuma "Aprūpe mājās" vienības izmaksu standarta likmes aprēķins</t>
    </r>
  </si>
  <si>
    <t>Pakalpojuma "Aprūpe mājās – drošības poga" vienības izmaksu standarta likmes aprēķins*</t>
  </si>
  <si>
    <t>Inflācija % [1]</t>
  </si>
  <si>
    <t>mēnešalgas bāze</t>
  </si>
  <si>
    <t>piemaksa 25%</t>
  </si>
  <si>
    <t>mēnešalgas bāze un piemaksa 25%</t>
  </si>
  <si>
    <t>VSAOI 23.59%</t>
  </si>
  <si>
    <t>atlīdzība mēnesī</t>
  </si>
  <si>
    <t>atlīdzība gadā</t>
  </si>
  <si>
    <t>atlīdzība stundā</t>
  </si>
  <si>
    <t xml:space="preserve">Aprūpētājs 40 h nedēļā
(8 h darba dienā) </t>
  </si>
  <si>
    <t>Viens aprūpētētājs apkalpo vidēji četrus klientus mēnesī, veltot vienam klientam vidēji 10 h nedēļā.
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t>
  </si>
  <si>
    <t>atlīdzība stundā par 400 klientiem</t>
  </si>
  <si>
    <t>atlīdzība stundā par 1 klientu</t>
  </si>
  <si>
    <t xml:space="preserve">Aprūpētāju darba koordinātors 40 h nedēļā (8 h darba dienā) </t>
  </si>
  <si>
    <r>
      <rPr>
        <b/>
        <sz val="11"/>
        <color theme="1"/>
        <rFont val="Times New Roman"/>
        <family val="1"/>
        <charset val="186"/>
      </rPr>
      <t>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noteikta minimālā atlīdzība 616 EUR, bet </t>
    </r>
    <r>
      <rPr>
        <b/>
        <sz val="11"/>
        <color theme="1"/>
        <rFont val="Times New Roman"/>
        <family val="1"/>
        <charset val="186"/>
      </rPr>
      <t>viduspunkts 880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</si>
  <si>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Aprūpētāja darba koordinators jeb </t>
    </r>
    <r>
      <rPr>
        <b/>
        <sz val="11"/>
        <color theme="1"/>
        <rFont val="Times New Roman"/>
        <family val="1"/>
        <charset val="186"/>
      </rPr>
      <t xml:space="preserve">vecākais aprūpētājs </t>
    </r>
    <r>
      <rPr>
        <sz val="11"/>
        <color theme="1"/>
        <rFont val="Times New Roman"/>
        <family val="1"/>
        <charset val="186"/>
      </rPr>
      <t xml:space="preserve">saskaņā ar </t>
    </r>
    <r>
      <rPr>
        <sz val="11"/>
        <color rgb="FF0070C0"/>
        <rFont val="Times New Roman"/>
        <family val="1"/>
        <charset val="186"/>
      </rPr>
      <t>MK 26.04.2022. noteikumu Nr. 262</t>
    </r>
    <r>
      <rPr>
        <sz val="11"/>
        <color theme="1"/>
        <rFont val="Times New Roman"/>
        <family val="1"/>
        <charset val="186"/>
      </rPr>
      <t xml:space="preserve"> 106.3. apakšpunktu klasificējas 43.1. apakšsaimes II līmenī - 5. mēnešalgu grupa.
Atbilstoši Valsts kancelejas pārskatam “Mēnešalgu skalu salīdzinājums”  4. mēnešalgu grupai noteikta minimālā atlīdzība 659 EUR, bet </t>
    </r>
    <r>
      <rPr>
        <b/>
        <sz val="11"/>
        <color theme="1"/>
        <rFont val="Times New Roman"/>
        <family val="1"/>
        <charset val="186"/>
      </rPr>
      <t>viduspunkts 942 EUR</t>
    </r>
    <r>
      <rPr>
        <sz val="11"/>
        <color theme="1"/>
        <rFont val="Times New Roman"/>
        <family val="1"/>
        <charset val="186"/>
      </rPr>
      <t xml:space="preserve">.
Papildus vecākais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t>
    </r>
    <r>
      <rPr>
        <sz val="11"/>
        <color rgb="FF0070C0"/>
        <rFont val="Times New Roman"/>
        <family val="1"/>
        <charset val="186"/>
      </rPr>
      <t xml:space="preserve"> Regulas Nr. 1303/2013</t>
    </r>
    <r>
      <rPr>
        <sz val="11"/>
        <color theme="1"/>
        <rFont val="Times New Roman"/>
        <family val="1"/>
        <charset val="186"/>
      </rPr>
      <t xml:space="preserve"> 68a panta 2. punktā noteiktajam, gada bruto izmaksas dalot ar 1 720 stundām.</t>
    </r>
  </si>
  <si>
    <r>
      <t xml:space="preserve">izmaksas 1 personai mēnesī </t>
    </r>
    <r>
      <rPr>
        <b/>
        <i/>
        <sz val="11"/>
        <rFont val="Times New Roman"/>
        <family val="1"/>
        <charset val="186"/>
      </rPr>
      <t>euro</t>
    </r>
  </si>
  <si>
    <r>
      <t xml:space="preserve">izmaksas 1 personai mēnesī, </t>
    </r>
    <r>
      <rPr>
        <b/>
        <i/>
        <sz val="11"/>
        <rFont val="Times New Roman"/>
        <family val="1"/>
        <charset val="186"/>
      </rPr>
      <t xml:space="preserve">euro </t>
    </r>
  </si>
  <si>
    <t>atlīdzība mēnesī (1 klients)</t>
  </si>
  <si>
    <r>
      <rPr>
        <b/>
        <sz val="11"/>
        <rFont val="Times New Roman"/>
        <family val="1"/>
        <charset val="186"/>
      </rPr>
      <t>Vadītājs</t>
    </r>
    <r>
      <rPr>
        <sz val="11"/>
        <rFont val="Times New Roman"/>
        <family val="1"/>
        <charset val="186"/>
      </rPr>
      <t xml:space="preserve"> saskaņā ar</t>
    </r>
    <r>
      <rPr>
        <sz val="11"/>
        <color rgb="FF0070C0"/>
        <rFont val="Times New Roman"/>
        <family val="1"/>
        <charset val="186"/>
      </rPr>
      <t xml:space="preserve"> MK 26.04.2022. noteikumu Nr. 262</t>
    </r>
    <r>
      <rPr>
        <sz val="11"/>
        <rFont val="Times New Roman"/>
        <family val="1"/>
        <charset val="186"/>
      </rPr>
      <t xml:space="preserve"> 81.6. apakšpunktu klasificējas 25. saimes V līmenī - 9. mēnešalgu grupa.
Atbilstoši Valsts kancelejas pārskatam “Mēnešalgu skalu salīdzinājums” 9. mēnešalgu grupai noteikta minimālā atlīdzība 1076 EUR, bet </t>
    </r>
    <r>
      <rPr>
        <b/>
        <sz val="11"/>
        <rFont val="Times New Roman"/>
        <family val="1"/>
        <charset val="186"/>
      </rPr>
      <t>viduspunkts 1537 EUR</t>
    </r>
    <r>
      <rPr>
        <sz val="11"/>
        <rFont val="Times New Roman"/>
        <family val="1"/>
        <charset val="186"/>
      </rPr>
      <t>.</t>
    </r>
  </si>
  <si>
    <t>Operators 
(lai nodrošinātu darbu 24 h/diennaktī nepieciešamas 3 slodzes)</t>
  </si>
  <si>
    <t>atlīdzība mēnesī (1 slodze)</t>
  </si>
  <si>
    <t>atlīdzība mēnesī (3 slodzes)</t>
  </si>
  <si>
    <r>
      <rPr>
        <b/>
        <sz val="11"/>
        <color theme="1"/>
        <rFont val="Times New Roman"/>
        <family val="1"/>
        <charset val="186"/>
      </rPr>
      <t>Operators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81.1. apakšpunktu klasificējas 25. saimes I līmenī - 4. mēnešalgu grupa.
Atbilstoši Valsts kancelejas pārskatam “Mēnešalgu skalu salīdzinājums” 4. mēnešalgu grupai noteikta minimālā atlīdzība 616 EUR, bet </t>
    </r>
    <r>
      <rPr>
        <b/>
        <sz val="11"/>
        <color theme="1"/>
        <rFont val="Times New Roman"/>
        <family val="1"/>
        <charset val="186"/>
      </rPr>
      <t>viduspunkts 880 EUR</t>
    </r>
    <r>
      <rPr>
        <sz val="11"/>
        <color theme="1"/>
        <rFont val="Times New Roman"/>
        <family val="1"/>
        <charset val="186"/>
      </rPr>
      <t>.</t>
    </r>
  </si>
  <si>
    <r>
      <rPr>
        <b/>
        <sz val="11"/>
        <color theme="1"/>
        <rFont val="Times New Roman"/>
        <family val="1"/>
        <charset val="186"/>
      </rPr>
      <t>Vadītājs/tehniķis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81.2. apakšpunktu klasificējas 25. saimes 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t>
    </r>
  </si>
  <si>
    <t>atlīdzība mēnesī (5 slodze)</t>
  </si>
  <si>
    <t>atlīdzības mēnesī (1 klients)</t>
  </si>
  <si>
    <r>
      <rPr>
        <b/>
        <sz val="11"/>
        <color theme="1"/>
        <rFont val="Times New Roman"/>
        <family val="1"/>
        <charset val="186"/>
      </rPr>
      <t>Aprūpētājs</t>
    </r>
    <r>
      <rPr>
        <sz val="11"/>
        <color theme="1"/>
        <rFont val="Times New Roman"/>
        <family val="1"/>
        <charset val="186"/>
      </rPr>
      <t xml:space="preserve"> saskaņā ar</t>
    </r>
    <r>
      <rPr>
        <sz val="11"/>
        <color rgb="FF0070C0"/>
        <rFont val="Times New Roman"/>
        <family val="1"/>
        <charset val="186"/>
      </rPr>
      <t xml:space="preserve"> 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noteikta minimālā atlīdzība 616 EUR, bet </t>
    </r>
    <r>
      <rPr>
        <b/>
        <sz val="11"/>
        <color theme="1"/>
        <rFont val="Times New Roman"/>
        <family val="1"/>
        <charset val="186"/>
      </rPr>
      <t>viduspunkts 880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t>
    </r>
  </si>
  <si>
    <t>Izbraukumu brigādes personāla izsmaksas – 5 aprūpētāji 
(24 h/diennnaktī)</t>
  </si>
  <si>
    <t>[1] Administratīvās izmaksas indeksētas, piemērojot inflācijas % patēriņa grupai "0 VISAS PRECES UN PAKALPOJUMI" no 2017. gada janvāra atbilstoši CSP datiem (https://tools.csb.gov.lv/cpi_calculator/lv/2017M01-2022M08/0/100).</t>
  </si>
  <si>
    <t>Gadā 1720 darba stundas, t.sk. 143.3 darba stundas mēnesī.</t>
  </si>
  <si>
    <t>6=5/215 darba dienas gadā</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</si>
  <si>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</si>
  <si>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 Atlīdzība - pakalpojuma sniedzēju izmaksu apkopojums un vidējo izmaksu aprēķins netiek iekļauts vienības izmaksu standara likmes aprēķinā, jo darbinieku atlīdzība aprēķināta saskaņā ar MK 26.04.2022. noteikumiem Nr. 262 (skat. 1.2. pielikumu).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</si>
</sst>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6" x14ac:knownFonts="1">
    <font>
      <sz val="10"/>
      <name val="Arial"/>
      <charset val="186"/>
    </font>
    <font>
      <sz val="10"/>
      <name val="Arial"/>
      <family val="2"/>
      <charset val="186"/>
    </font>
    <font>
      <sz val="10"/>
      <name val="Arial"/>
      <family val="2"/>
      <charset val="186"/>
    </font>
    <font>
      <sz val="11"/>
      <name val="Times New Roman"/>
      <family val="1"/>
      <charset val="186"/>
    </font>
    <font>
      <b/>
      <sz val="11"/>
      <name val="Times New Roman"/>
      <family val="1"/>
      <charset val="186"/>
    </font>
    <font>
      <b/>
      <i/>
      <sz val="11"/>
      <name val="Times New Roman"/>
      <family val="1"/>
      <charset val="186"/>
    </font>
    <font>
      <b/>
      <sz val="11"/>
      <color indexed="8"/>
      <name val="Times New Roman"/>
      <family val="1"/>
      <charset val="186"/>
    </font>
    <font>
      <sz val="11"/>
      <name val="Times New Roman"/>
      <family val="1"/>
      <charset val="186"/>
    </font>
    <font>
      <b/>
      <sz val="11"/>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i/>
      <sz val="11"/>
      <color theme="1"/>
      <name val="Times New Roman"/>
      <family val="1"/>
      <charset val="186"/>
    </font>
    <font>
      <sz val="11"/>
      <color rgb="FF000000"/>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84">
    <xf numFmtId="0" fontId="0" fillId="0" borderId="0" xfId="0"/>
    <xf numFmtId="0" fontId="3" fillId="0" borderId="1" xfId="0" applyFont="1" applyBorder="1" applyAlignment="1">
      <alignment horizontal="left" vertical="center" wrapText="1"/>
    </xf>
    <xf numFmtId="0" fontId="3" fillId="0" borderId="0" xfId="0" applyFont="1"/>
    <xf numFmtId="0" fontId="3" fillId="0" borderId="0" xfId="0" applyFont="1" applyAlignment="1"/>
    <xf numFmtId="2" fontId="3" fillId="0" borderId="0" xfId="0" applyNumberFormat="1" applyFont="1"/>
    <xf numFmtId="4" fontId="3" fillId="0" borderId="0" xfId="0" applyNumberFormat="1"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xf numFmtId="0" fontId="10"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0" xfId="0" applyFont="1" applyAlignment="1">
      <alignment vertical="top"/>
    </xf>
    <xf numFmtId="0" fontId="3" fillId="0" borderId="0" xfId="0" applyFont="1" applyFill="1" applyBorder="1" applyAlignment="1">
      <alignment vertical="top"/>
    </xf>
    <xf numFmtId="0" fontId="10" fillId="0" borderId="0" xfId="0" applyFont="1" applyFill="1" applyBorder="1" applyAlignment="1">
      <alignment vertical="top"/>
    </xf>
    <xf numFmtId="0" fontId="10" fillId="0" borderId="0" xfId="0" applyFont="1" applyFill="1" applyBorder="1" applyAlignment="1">
      <alignment horizontal="left" vertical="center" wrapText="1"/>
    </xf>
    <xf numFmtId="0" fontId="3" fillId="0" borderId="0" xfId="0" applyFont="1" applyAlignment="1" applyProtection="1">
      <alignment vertical="top"/>
      <protection locked="0"/>
    </xf>
    <xf numFmtId="4" fontId="10" fillId="0" borderId="0" xfId="0" applyNumberFormat="1" applyFont="1"/>
    <xf numFmtId="0" fontId="11" fillId="3" borderId="15" xfId="0" applyFont="1" applyFill="1" applyBorder="1" applyAlignment="1">
      <alignment horizontal="center" vertical="center" wrapText="1"/>
    </xf>
    <xf numFmtId="4" fontId="11" fillId="3" borderId="15" xfId="0" applyNumberFormat="1" applyFont="1" applyFill="1" applyBorder="1" applyAlignment="1">
      <alignment horizontal="center" vertical="center"/>
    </xf>
    <xf numFmtId="9" fontId="11" fillId="3" borderId="15" xfId="2" applyFont="1" applyFill="1" applyBorder="1" applyAlignment="1">
      <alignment horizontal="center" vertical="center"/>
    </xf>
    <xf numFmtId="0" fontId="11" fillId="3" borderId="15" xfId="0" applyFont="1" applyFill="1" applyBorder="1" applyAlignment="1">
      <alignment horizontal="center" wrapText="1"/>
    </xf>
    <xf numFmtId="0" fontId="10" fillId="3" borderId="15" xfId="0" applyFont="1" applyFill="1" applyBorder="1" applyAlignment="1">
      <alignment wrapText="1"/>
    </xf>
    <xf numFmtId="0" fontId="7" fillId="0" borderId="0" xfId="0" applyFont="1"/>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xf numFmtId="2" fontId="7" fillId="0" borderId="0" xfId="0" applyNumberFormat="1" applyFont="1"/>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justify" vertical="center" wrapText="1"/>
    </xf>
    <xf numFmtId="0" fontId="7" fillId="0" borderId="1" xfId="0" applyFont="1" applyBorder="1" applyAlignment="1">
      <alignment wrapText="1"/>
    </xf>
    <xf numFmtId="0" fontId="10" fillId="0" borderId="1" xfId="1" applyFont="1" applyBorder="1" applyAlignment="1">
      <alignment horizontal="center" vertical="center" wrapText="1"/>
    </xf>
    <xf numFmtId="2" fontId="10" fillId="0" borderId="1" xfId="0" applyNumberFormat="1" applyFont="1" applyBorder="1" applyAlignment="1">
      <alignment horizontal="center" vertical="center"/>
    </xf>
    <xf numFmtId="0" fontId="10" fillId="0" borderId="1" xfId="0" applyFont="1" applyBorder="1" applyAlignment="1">
      <alignment vertical="center" wrapText="1"/>
    </xf>
    <xf numFmtId="2" fontId="10" fillId="0" borderId="1" xfId="1" applyNumberFormat="1" applyFont="1" applyBorder="1" applyAlignment="1">
      <alignment horizontal="center" vertical="center" wrapText="1"/>
    </xf>
    <xf numFmtId="10" fontId="7" fillId="0" borderId="0" xfId="0" applyNumberFormat="1" applyFont="1"/>
    <xf numFmtId="4" fontId="10" fillId="0" borderId="1" xfId="1" applyNumberFormat="1" applyFont="1" applyBorder="1" applyAlignment="1">
      <alignment horizontal="center" vertical="center" wrapText="1"/>
    </xf>
    <xf numFmtId="0" fontId="7" fillId="0" borderId="1" xfId="0" applyFont="1" applyBorder="1" applyAlignment="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165" fontId="7" fillId="0" borderId="0" xfId="0" applyNumberFormat="1" applyFont="1"/>
    <xf numFmtId="0" fontId="7" fillId="0" borderId="1" xfId="1" applyFont="1" applyBorder="1" applyAlignment="1">
      <alignment horizontal="left" vertical="center" wrapText="1"/>
    </xf>
    <xf numFmtId="4" fontId="7"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0" fontId="8" fillId="0" borderId="1" xfId="1" applyFont="1" applyBorder="1" applyAlignment="1">
      <alignment horizontal="left" vertical="top" wrapText="1"/>
    </xf>
    <xf numFmtId="2" fontId="8" fillId="0" borderId="1" xfId="0" applyNumberFormat="1" applyFont="1" applyBorder="1" applyAlignment="1">
      <alignment horizontal="center" vertical="center"/>
    </xf>
    <xf numFmtId="0" fontId="11" fillId="3" borderId="1" xfId="0" applyFont="1" applyFill="1" applyBorder="1" applyAlignment="1">
      <alignment horizontal="left" wrapText="1"/>
    </xf>
    <xf numFmtId="2" fontId="11" fillId="3" borderId="1" xfId="0" applyNumberFormat="1" applyFont="1" applyFill="1" applyBorder="1" applyAlignment="1">
      <alignment horizontal="center" vertical="center"/>
    </xf>
    <xf numFmtId="0" fontId="7" fillId="0" borderId="0" xfId="0" applyFont="1" applyAlignment="1">
      <alignment wrapText="1"/>
    </xf>
    <xf numFmtId="164" fontId="7" fillId="0" borderId="0" xfId="0" applyNumberFormat="1" applyFont="1"/>
    <xf numFmtId="0" fontId="11" fillId="3" borderId="1" xfId="0" applyFont="1" applyFill="1" applyBorder="1" applyAlignment="1">
      <alignment horizontal="right" vertical="center" wrapText="1"/>
    </xf>
    <xf numFmtId="0" fontId="3" fillId="0" borderId="16" xfId="0" applyFont="1" applyFill="1" applyBorder="1" applyAlignment="1">
      <alignment horizontal="center" vertical="center"/>
    </xf>
    <xf numFmtId="1" fontId="11" fillId="3" borderId="15"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0" xfId="0" applyFont="1" applyFill="1" applyAlignment="1">
      <alignment vertical="top"/>
    </xf>
    <xf numFmtId="0" fontId="3" fillId="0" borderId="0" xfId="0" applyFont="1" applyFill="1" applyAlignment="1" applyProtection="1">
      <alignment vertical="top"/>
      <protection locked="0"/>
    </xf>
    <xf numFmtId="0" fontId="8" fillId="4" borderId="1" xfId="0" applyFont="1" applyFill="1" applyBorder="1" applyAlignment="1">
      <alignment horizontal="center" vertical="center" wrapText="1"/>
    </xf>
    <xf numFmtId="0" fontId="10" fillId="0" borderId="0" xfId="0" applyFont="1" applyFill="1"/>
    <xf numFmtId="0" fontId="10" fillId="0" borderId="1" xfId="0" applyFont="1" applyBorder="1" applyAlignment="1">
      <alignment vertical="center" wrapText="1"/>
    </xf>
    <xf numFmtId="0" fontId="10" fillId="0" borderId="1" xfId="0" applyFont="1" applyBorder="1" applyAlignment="1">
      <alignment horizontal="left" vertical="center" wrapText="1"/>
    </xf>
    <xf numFmtId="166" fontId="7" fillId="0" borderId="0" xfId="0" applyNumberFormat="1" applyFont="1"/>
    <xf numFmtId="0" fontId="3" fillId="0" borderId="1" xfId="0" applyFont="1" applyBorder="1" applyAlignment="1">
      <alignment vertical="center" wrapText="1"/>
    </xf>
    <xf numFmtId="0" fontId="4" fillId="0" borderId="1" xfId="0" applyFont="1" applyBorder="1" applyAlignment="1">
      <alignment horizontal="left" wrapText="1"/>
    </xf>
    <xf numFmtId="0" fontId="7" fillId="0" borderId="16" xfId="0" applyFont="1" applyFill="1" applyBorder="1"/>
    <xf numFmtId="0" fontId="7" fillId="0" borderId="0" xfId="0" applyFont="1" applyFill="1" applyBorder="1"/>
    <xf numFmtId="0" fontId="10" fillId="0" borderId="0" xfId="0" applyFont="1" applyFill="1" applyBorder="1"/>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xf>
    <xf numFmtId="0" fontId="3" fillId="0" borderId="1" xfId="0" applyFont="1" applyBorder="1"/>
    <xf numFmtId="2" fontId="3" fillId="0" borderId="1" xfId="0" applyNumberFormat="1" applyFont="1" applyFill="1" applyBorder="1" applyAlignment="1">
      <alignment horizontal="center" vertical="center"/>
    </xf>
    <xf numFmtId="0" fontId="14" fillId="0" borderId="1" xfId="0" applyFont="1" applyBorder="1"/>
    <xf numFmtId="0" fontId="3" fillId="0" borderId="1" xfId="0" applyFont="1" applyFill="1" applyBorder="1" applyAlignment="1">
      <alignment horizontal="left" vertical="center" wrapText="1"/>
    </xf>
    <xf numFmtId="2" fontId="10" fillId="0" borderId="1" xfId="0" applyNumberFormat="1" applyFont="1" applyFill="1" applyBorder="1" applyAlignment="1">
      <alignment horizontal="center" vertical="center"/>
    </xf>
    <xf numFmtId="0" fontId="3" fillId="0" borderId="1" xfId="0" applyFont="1" applyFill="1" applyBorder="1"/>
    <xf numFmtId="0" fontId="10" fillId="0" borderId="1" xfId="0" applyFont="1" applyFill="1" applyBorder="1" applyAlignment="1">
      <alignment horizontal="left" vertical="center" wrapText="1"/>
    </xf>
    <xf numFmtId="0" fontId="10" fillId="0" borderId="1" xfId="0" applyFont="1" applyBorder="1"/>
    <xf numFmtId="0" fontId="3" fillId="3" borderId="1" xfId="0" applyFont="1" applyFill="1" applyBorder="1" applyAlignment="1">
      <alignment horizontal="center" vertical="center"/>
    </xf>
    <xf numFmtId="1"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xf>
    <xf numFmtId="0" fontId="3" fillId="0" borderId="1" xfId="0" applyFont="1" applyBorder="1" applyAlignment="1">
      <alignment horizontal="center"/>
    </xf>
    <xf numFmtId="4" fontId="3" fillId="0" borderId="1" xfId="0" applyNumberFormat="1" applyFont="1" applyBorder="1" applyAlignment="1">
      <alignment horizontal="center"/>
    </xf>
    <xf numFmtId="2" fontId="3" fillId="0" borderId="1" xfId="0" applyNumberFormat="1" applyFont="1" applyBorder="1" applyAlignment="1">
      <alignment horizontal="center"/>
    </xf>
    <xf numFmtId="0" fontId="11" fillId="2" borderId="1" xfId="0" applyFont="1" applyFill="1" applyBorder="1" applyAlignment="1">
      <alignment horizontal="left" vertical="center" wrapText="1"/>
    </xf>
    <xf numFmtId="3"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4" fontId="4" fillId="2" borderId="1" xfId="0" applyNumberFormat="1" applyFont="1" applyFill="1" applyBorder="1" applyAlignment="1">
      <alignment horizontal="center"/>
    </xf>
    <xf numFmtId="0" fontId="11" fillId="0" borderId="0" xfId="0" applyFont="1" applyFill="1" applyBorder="1" applyAlignment="1">
      <alignment horizontal="left" vertical="center" wrapText="1"/>
    </xf>
    <xf numFmtId="3"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4" fontId="4" fillId="0" borderId="0" xfId="0" applyNumberFormat="1" applyFont="1" applyFill="1" applyBorder="1" applyAlignment="1">
      <alignment horizontal="center"/>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0" borderId="1" xfId="0" applyFont="1" applyBorder="1" applyAlignment="1">
      <alignment vertical="top"/>
    </xf>
    <xf numFmtId="4" fontId="3"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4" fontId="11" fillId="0" borderId="6"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left" vertical="center" wrapText="1"/>
    </xf>
    <xf numFmtId="4" fontId="10" fillId="0" borderId="7" xfId="0" applyNumberFormat="1" applyFont="1" applyBorder="1" applyAlignment="1">
      <alignment horizontal="center" vertical="center"/>
    </xf>
    <xf numFmtId="4" fontId="10" fillId="0" borderId="8" xfId="0" applyNumberFormat="1" applyFont="1" applyBorder="1" applyAlignment="1">
      <alignment horizontal="center" vertical="center"/>
    </xf>
    <xf numFmtId="4" fontId="11" fillId="0" borderId="9" xfId="0" applyNumberFormat="1" applyFont="1" applyBorder="1" applyAlignment="1">
      <alignment horizontal="center" vertical="center"/>
    </xf>
    <xf numFmtId="4" fontId="10" fillId="0" borderId="12" xfId="0" applyNumberFormat="1" applyFont="1" applyBorder="1" applyAlignment="1">
      <alignment horizontal="center" vertical="center"/>
    </xf>
    <xf numFmtId="0" fontId="10" fillId="0" borderId="22" xfId="0" applyFont="1" applyBorder="1" applyAlignment="1">
      <alignment horizontal="center" vertical="center"/>
    </xf>
    <xf numFmtId="0" fontId="11" fillId="0" borderId="13" xfId="0" applyFont="1" applyBorder="1" applyAlignment="1">
      <alignment horizontal="left" vertical="top"/>
    </xf>
    <xf numFmtId="4" fontId="11" fillId="0" borderId="13" xfId="0" applyNumberFormat="1" applyFont="1" applyBorder="1" applyAlignment="1">
      <alignment horizontal="center" vertical="center"/>
    </xf>
    <xf numFmtId="4" fontId="11" fillId="0" borderId="14" xfId="0" applyNumberFormat="1" applyFont="1" applyBorder="1" applyAlignment="1">
      <alignment horizontal="center" vertical="center"/>
    </xf>
    <xf numFmtId="4" fontId="11" fillId="0" borderId="18" xfId="0" applyNumberFormat="1" applyFont="1" applyFill="1" applyBorder="1" applyAlignment="1">
      <alignment horizontal="center" vertical="center"/>
    </xf>
    <xf numFmtId="4" fontId="11" fillId="0" borderId="19"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20" xfId="0" applyNumberFormat="1" applyFont="1" applyFill="1" applyBorder="1" applyAlignment="1">
      <alignment horizontal="center" vertical="center"/>
    </xf>
    <xf numFmtId="4" fontId="11" fillId="0" borderId="21" xfId="0" applyNumberFormat="1" applyFont="1" applyFill="1" applyBorder="1" applyAlignment="1">
      <alignment horizontal="center" vertical="center"/>
    </xf>
    <xf numFmtId="4" fontId="4" fillId="0" borderId="18"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wrapText="1"/>
    </xf>
    <xf numFmtId="0" fontId="10" fillId="4" borderId="1" xfId="0" applyFont="1" applyFill="1" applyBorder="1" applyAlignment="1">
      <alignment horizontal="center" vertical="center"/>
    </xf>
    <xf numFmtId="3" fontId="10"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4" fontId="10" fillId="5" borderId="1" xfId="0" applyNumberFormat="1" applyFont="1" applyFill="1" applyBorder="1" applyAlignment="1">
      <alignment horizontal="center" vertical="center"/>
    </xf>
    <xf numFmtId="4" fontId="10" fillId="5" borderId="2" xfId="0" applyNumberFormat="1" applyFont="1" applyFill="1" applyBorder="1" applyAlignment="1">
      <alignment horizontal="center" vertical="center"/>
    </xf>
    <xf numFmtId="4" fontId="10" fillId="5" borderId="7" xfId="0" applyNumberFormat="1" applyFont="1" applyFill="1" applyBorder="1" applyAlignment="1">
      <alignment horizontal="center" vertical="center"/>
    </xf>
    <xf numFmtId="4" fontId="10" fillId="5" borderId="4" xfId="0" applyNumberFormat="1" applyFont="1" applyFill="1" applyBorder="1" applyAlignment="1">
      <alignment horizontal="center" vertical="center"/>
    </xf>
    <xf numFmtId="4" fontId="10" fillId="5" borderId="5" xfId="0" applyNumberFormat="1" applyFont="1" applyFill="1" applyBorder="1" applyAlignment="1">
      <alignment horizontal="center" vertical="center"/>
    </xf>
    <xf numFmtId="4" fontId="10" fillId="5" borderId="6" xfId="0" applyNumberFormat="1" applyFont="1" applyFill="1" applyBorder="1" applyAlignment="1">
      <alignment horizontal="center" vertical="center"/>
    </xf>
    <xf numFmtId="4" fontId="10" fillId="5" borderId="11" xfId="0" applyNumberFormat="1" applyFont="1" applyFill="1" applyBorder="1" applyAlignment="1">
      <alignment horizontal="center" vertical="center"/>
    </xf>
    <xf numFmtId="4" fontId="10" fillId="5" borderId="10"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3" fillId="4" borderId="2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4" fontId="10" fillId="0" borderId="15" xfId="0" applyNumberFormat="1" applyFont="1" applyFill="1" applyBorder="1" applyAlignment="1">
      <alignment horizontal="right" vertical="center"/>
    </xf>
    <xf numFmtId="0" fontId="10" fillId="0" borderId="1" xfId="0" applyFont="1" applyFill="1" applyBorder="1" applyAlignment="1">
      <alignment horizontal="left" wrapText="1"/>
    </xf>
    <xf numFmtId="2" fontId="10" fillId="0" borderId="1" xfId="0" applyNumberFormat="1" applyFont="1" applyFill="1" applyBorder="1" applyAlignment="1">
      <alignment horizontal="right" vertical="center"/>
    </xf>
    <xf numFmtId="0" fontId="10" fillId="0" borderId="1" xfId="0" applyFont="1" applyFill="1" applyBorder="1" applyAlignment="1">
      <alignment vertical="center" wrapText="1"/>
    </xf>
    <xf numFmtId="2" fontId="10" fillId="0" borderId="1" xfId="0" applyNumberFormat="1" applyFont="1" applyFill="1" applyBorder="1" applyAlignment="1">
      <alignment horizontal="center"/>
    </xf>
    <xf numFmtId="0" fontId="10" fillId="0" borderId="1" xfId="0" applyFont="1" applyFill="1" applyBorder="1" applyAlignment="1">
      <alignment wrapText="1"/>
    </xf>
    <xf numFmtId="2" fontId="10" fillId="0" borderId="1" xfId="0" applyNumberFormat="1" applyFont="1" applyFill="1" applyBorder="1" applyAlignment="1">
      <alignment vertical="center"/>
    </xf>
    <xf numFmtId="0" fontId="11" fillId="0" borderId="0" xfId="0" applyFont="1" applyBorder="1" applyAlignment="1">
      <alignment horizontal="center" vertical="center"/>
    </xf>
    <xf numFmtId="0" fontId="13" fillId="0" borderId="0" xfId="0" applyFont="1" applyAlignment="1">
      <alignment horizontal="right"/>
    </xf>
    <xf numFmtId="0" fontId="10" fillId="0" borderId="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0" xfId="0" applyFont="1" applyBorder="1" applyAlignment="1">
      <alignment horizontal="left" vertical="center" wrapText="1"/>
    </xf>
    <xf numFmtId="0" fontId="10" fillId="0" borderId="23" xfId="0" applyFont="1" applyBorder="1" applyAlignment="1">
      <alignment horizontal="left" vertical="center" wrapText="1"/>
    </xf>
    <xf numFmtId="0" fontId="10" fillId="0" borderId="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30" xfId="0" applyFont="1" applyBorder="1" applyAlignment="1">
      <alignment horizontal="left" vertical="center" wrapText="1"/>
    </xf>
    <xf numFmtId="0" fontId="10" fillId="2" borderId="2"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4" xfId="0" applyFont="1" applyFill="1" applyBorder="1" applyAlignment="1">
      <alignment horizontal="left" vertical="center" wrapText="1"/>
    </xf>
    <xf numFmtId="2" fontId="10" fillId="0" borderId="7" xfId="0" applyNumberFormat="1" applyFont="1" applyFill="1" applyBorder="1" applyAlignment="1">
      <alignment horizontal="center" vertical="center"/>
    </xf>
    <xf numFmtId="2" fontId="10" fillId="0" borderId="27" xfId="0" applyNumberFormat="1" applyFont="1" applyFill="1" applyBorder="1" applyAlignment="1">
      <alignment horizontal="center" vertical="center"/>
    </xf>
    <xf numFmtId="2" fontId="10" fillId="0" borderId="15"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10" fillId="0" borderId="27" xfId="0" applyNumberFormat="1" applyFont="1" applyFill="1" applyBorder="1" applyAlignment="1">
      <alignment horizontal="center" vertical="center"/>
    </xf>
    <xf numFmtId="1" fontId="10" fillId="0" borderId="15"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3" fillId="0" borderId="0" xfId="0" applyFont="1" applyFill="1" applyAlignment="1">
      <alignment horizontal="left"/>
    </xf>
    <xf numFmtId="0" fontId="9" fillId="0" borderId="0" xfId="0" applyFont="1" applyAlignment="1">
      <alignment horizontal="right"/>
    </xf>
    <xf numFmtId="0" fontId="4" fillId="0" borderId="0" xfId="0" applyFont="1" applyBorder="1" applyAlignment="1">
      <alignment horizontal="center" vertical="center" wrapText="1"/>
    </xf>
    <xf numFmtId="167" fontId="10" fillId="0" borderId="7" xfId="2" applyNumberFormat="1" applyFont="1" applyFill="1" applyBorder="1" applyAlignment="1">
      <alignment horizontal="center" vertical="center"/>
    </xf>
    <xf numFmtId="167" fontId="10" fillId="0" borderId="27" xfId="2" applyNumberFormat="1" applyFont="1" applyFill="1" applyBorder="1" applyAlignment="1">
      <alignment horizontal="center" vertical="center"/>
    </xf>
    <xf numFmtId="167" fontId="10" fillId="0" borderId="15" xfId="2" applyNumberFormat="1" applyFont="1" applyFill="1" applyBorder="1" applyAlignment="1">
      <alignment horizontal="center" vertical="center"/>
    </xf>
    <xf numFmtId="1" fontId="10" fillId="0" borderId="7"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1" fontId="10" fillId="0" borderId="15" xfId="0" applyNumberFormat="1" applyFont="1" applyFill="1" applyBorder="1" applyAlignment="1">
      <alignment horizontal="center" vertical="center" wrapText="1"/>
    </xf>
    <xf numFmtId="4" fontId="10" fillId="0" borderId="7" xfId="0" applyNumberFormat="1" applyFont="1" applyFill="1" applyBorder="1" applyAlignment="1">
      <alignment horizontal="center" vertical="center"/>
    </xf>
    <xf numFmtId="4" fontId="10" fillId="0" borderId="27" xfId="0" applyNumberFormat="1" applyFont="1" applyFill="1" applyBorder="1" applyAlignment="1">
      <alignment horizontal="center" vertical="center"/>
    </xf>
    <xf numFmtId="4" fontId="10" fillId="0" borderId="15"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0" fillId="0" borderId="7" xfId="0" applyFont="1" applyFill="1" applyBorder="1" applyAlignment="1">
      <alignment horizontal="left" wrapText="1"/>
    </xf>
    <xf numFmtId="0" fontId="10" fillId="0" borderId="27" xfId="0" applyFont="1" applyFill="1" applyBorder="1" applyAlignment="1">
      <alignment horizontal="left" wrapText="1"/>
    </xf>
    <xf numFmtId="0" fontId="10" fillId="0" borderId="15" xfId="0" applyFont="1" applyFill="1" applyBorder="1" applyAlignment="1">
      <alignment horizontal="left" wrapText="1"/>
    </xf>
    <xf numFmtId="0" fontId="10" fillId="0" borderId="0" xfId="0" applyFont="1" applyFill="1" applyAlignment="1">
      <alignment horizontal="left" vertical="center" wrapText="1"/>
    </xf>
    <xf numFmtId="0" fontId="4" fillId="0" borderId="0" xfId="0" applyFont="1" applyAlignment="1">
      <alignment horizontal="center" vertical="center" wrapText="1"/>
    </xf>
    <xf numFmtId="0" fontId="9" fillId="0" borderId="0" xfId="0" applyFont="1" applyAlignment="1">
      <alignment horizontal="right" vertical="center"/>
    </xf>
    <xf numFmtId="0" fontId="10" fillId="3" borderId="7"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0" xfId="0" applyFont="1" applyFill="1" applyAlignment="1">
      <alignment horizontal="left" vertical="top" wrapText="1"/>
    </xf>
    <xf numFmtId="0" fontId="10" fillId="3" borderId="2"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11" fillId="0" borderId="26" xfId="0" applyFont="1" applyBorder="1" applyAlignment="1">
      <alignment horizontal="center" vertical="center" wrapText="1"/>
    </xf>
    <xf numFmtId="0" fontId="10" fillId="0" borderId="0" xfId="0" applyFont="1" applyAlignment="1">
      <alignment horizontal="left" vertical="center" wrapText="1"/>
    </xf>
    <xf numFmtId="2" fontId="11" fillId="0" borderId="1" xfId="0" applyNumberFormat="1" applyFont="1" applyBorder="1" applyAlignment="1">
      <alignment horizontal="center" vertical="center"/>
    </xf>
    <xf numFmtId="0" fontId="10" fillId="0" borderId="0" xfId="0" applyFont="1" applyAlignment="1">
      <alignment horizontal="left" vertical="center"/>
    </xf>
    <xf numFmtId="4" fontId="10" fillId="0" borderId="7" xfId="0" applyNumberFormat="1" applyFont="1" applyBorder="1" applyAlignment="1">
      <alignment horizontal="center" vertical="center"/>
    </xf>
    <xf numFmtId="4" fontId="10" fillId="0" borderId="15"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10" fillId="0" borderId="15"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1" fillId="0" borderId="0" xfId="0" applyFont="1" applyAlignment="1">
      <alignment horizontal="center" vertical="center" wrapText="1"/>
    </xf>
    <xf numFmtId="0" fontId="9" fillId="0" borderId="0" xfId="0" applyFont="1" applyAlignment="1" applyProtection="1">
      <alignment horizontal="right"/>
      <protection locked="0"/>
    </xf>
    <xf numFmtId="0" fontId="7" fillId="0" borderId="7"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4"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0" borderId="0" xfId="0" applyFont="1" applyAlignment="1">
      <alignment horizontal="left" vertical="center" wrapText="1"/>
    </xf>
    <xf numFmtId="0" fontId="4" fillId="4" borderId="1" xfId="0" applyFont="1" applyFill="1" applyBorder="1" applyAlignment="1">
      <alignment horizontal="center" vertical="center" wrapText="1"/>
    </xf>
    <xf numFmtId="2" fontId="7" fillId="0" borderId="2" xfId="0" applyNumberFormat="1" applyFont="1" applyFill="1" applyBorder="1" applyAlignment="1">
      <alignment horizontal="center" vertical="center"/>
    </xf>
    <xf numFmtId="2" fontId="7" fillId="0" borderId="4"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xf numFmtId="0" fontId="3" fillId="0" borderId="7" xfId="0" applyFont="1" applyFill="1" applyBorder="1" applyAlignment="1">
      <alignment horizontal="left" wrapText="1"/>
    </xf>
    <xf numFmtId="0" fontId="7" fillId="0" borderId="27" xfId="0" applyFont="1" applyFill="1" applyBorder="1" applyAlignment="1">
      <alignment horizontal="left" wrapText="1"/>
    </xf>
    <xf numFmtId="0" fontId="7" fillId="0" borderId="15" xfId="0" applyFont="1" applyFill="1" applyBorder="1" applyAlignment="1">
      <alignment horizontal="left" wrapText="1"/>
    </xf>
    <xf numFmtId="0" fontId="7" fillId="0" borderId="7"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5" xfId="0" applyFont="1" applyFill="1" applyBorder="1" applyAlignment="1">
      <alignment horizontal="center" vertical="center"/>
    </xf>
    <xf numFmtId="0" fontId="8" fillId="3" borderId="1" xfId="0" applyFont="1" applyFill="1" applyBorder="1" applyAlignment="1">
      <alignment horizontal="center" vertical="center"/>
    </xf>
    <xf numFmtId="9" fontId="11" fillId="3" borderId="2" xfId="2" applyFont="1" applyFill="1" applyBorder="1" applyAlignment="1">
      <alignment horizontal="center" vertical="center"/>
    </xf>
    <xf numFmtId="9" fontId="11" fillId="3" borderId="25" xfId="2" applyFont="1" applyFill="1" applyBorder="1" applyAlignment="1">
      <alignment horizontal="center" vertical="center"/>
    </xf>
    <xf numFmtId="9" fontId="11" fillId="3" borderId="4" xfId="2" applyFont="1" applyFill="1" applyBorder="1" applyAlignment="1">
      <alignment horizontal="center" vertical="center"/>
    </xf>
    <xf numFmtId="4" fontId="11" fillId="3" borderId="2" xfId="0" applyNumberFormat="1" applyFont="1" applyFill="1" applyBorder="1" applyAlignment="1">
      <alignment horizontal="center" vertical="center"/>
    </xf>
    <xf numFmtId="4" fontId="11" fillId="3" borderId="4"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25" xfId="1" applyFont="1" applyFill="1" applyBorder="1" applyAlignment="1">
      <alignment horizontal="left" vertical="center" wrapText="1"/>
    </xf>
    <xf numFmtId="0" fontId="11" fillId="3" borderId="4" xfId="1" applyFont="1" applyFill="1" applyBorder="1" applyAlignment="1">
      <alignment horizontal="left" vertical="center" wrapText="1"/>
    </xf>
  </cellXfs>
  <cellStyles count="3">
    <cellStyle name="Normal" xfId="0" builtinId="0"/>
    <cellStyle name="Parasts 2" xfId="1" xr:uid="{00000000-0005-0000-0000-000001000000}"/>
    <cellStyle name="Percent" xfId="2" builtinId="5"/>
  </cellStyles>
  <dxfs count="0"/>
  <tableStyles count="0" defaultTableStyle="TableStyleMedium2" defaultPivotStyle="PivotStyleLight16"/>
  <colors>
    <mruColors>
      <color rgb="FFFFFFCC"/>
      <color rgb="FFFFFF99"/>
      <color rgb="FF00FE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ūrs Pētersons" id="{5B828D62-4ACB-4827-9FB8-80A3D48CEE1E}"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1-04-21T11:53:39.67" personId="{5B828D62-4ACB-4827-9FB8-80A3D48CEE1E}" id="{C1743659-57E5-41BA-A338-CA783485F910}">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 ref="C7" dT="2021-04-20T06:14:38.92" personId="{5B828D62-4ACB-4827-9FB8-80A3D48CEE1E}" id="{7AF1D36C-F4DA-4133-BAE4-FCACB2C3B585}">
    <text>Precizēts</text>
  </threadedComment>
  <threadedComment ref="C7" dT="2021-04-21T11:55:37.45" personId="{5B828D62-4ACB-4827-9FB8-80A3D48CEE1E}" id="{D46970BD-D148-4C73-A31F-86F6B87169BA}" parentId="{7AF1D36C-F4DA-4133-BAE4-FCACB2C3B585}">
    <text>CFLA:
Lūdzam veikt pārrēkinu, jo DD VSAOI aprēķinā ir iekļauts 2 reizes.</text>
  </threadedComment>
  <threadedComment ref="F7" dT="2021-04-20T06:14:28.18" personId="{5B828D62-4ACB-4827-9FB8-80A3D48CEE1E}" id="{93CB19D6-8B7C-49F5-9F2E-E8FEC3408E7C}">
    <text>CFLA:
Lūdzam veikt pārrēkinu, jo DD VSAOI aprēķinā ir iekļauts 2 reizes.</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1-04-21T12:03:06.79" personId="{5B828D62-4ACB-4827-9FB8-80A3D48CEE1E}" id="{07D1C4A5-3E6D-4818-B9BF-22ADE3619E16}">
    <text>CFLA:
Atbilstoši norādītajam aprēķinam izmaksas par 1 vienību ir 1 111.07 euro</text>
  </threadedComment>
  <threadedComment ref="C17" dT="2021-04-21T12:04:09.55" personId="{5B828D62-4ACB-4827-9FB8-80A3D48CEE1E}" id="{C9214408-C431-4DE9-8A47-E1E08AB34334}">
    <text>CFLA:
Lūdzam aktualizēt, atbilstoši sniegtajam komentāram pie izmaksu aprēķina</text>
  </threadedComment>
  <threadedComment ref="H17" dT="2021-04-20T06:57:40.37" personId="{5B828D62-4ACB-4827-9FB8-80A3D48CEE1E}" id="{948DE51C-D64B-47FA-B2AF-4E915DCC2060}">
    <text>CFLA:
Skaidrojam, ka piemaksas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 
Vai pareizi saprotam, ka kopējais piemaksas apmeŗs ir 50%? Papildus lūdzam skaidrot, kāpēc otrā 25% piemaksa ir rēķināta no izmaksām, kas sastāda, BRUTO atalojumu+DD VSAOI+25% piemaksu (bez DD VSAOI). Un kāpēc šīm izmaksām nav aprēķināts DD VSAOI?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microsoft.com/office/2017/10/relationships/threadedComment" Target="../threadedComments/threadedComment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zoomScale="70" zoomScaleNormal="70" workbookViewId="0">
      <selection sqref="A1:B1"/>
    </sheetView>
  </sheetViews>
  <sheetFormatPr defaultColWidth="9.1796875" defaultRowHeight="14" x14ac:dyDescent="0.3"/>
  <cols>
    <col min="1" max="1" width="12.1796875" style="2" customWidth="1"/>
    <col min="2" max="2" width="108.453125" style="2" customWidth="1"/>
    <col min="3" max="16384" width="9.1796875" style="2"/>
  </cols>
  <sheetData>
    <row r="1" spans="1:2" ht="12" customHeight="1" x14ac:dyDescent="0.3">
      <c r="A1" s="162" t="s">
        <v>112</v>
      </c>
      <c r="B1" s="162"/>
    </row>
    <row r="2" spans="1:2" ht="12" customHeight="1" x14ac:dyDescent="0.3">
      <c r="A2" s="161" t="s">
        <v>91</v>
      </c>
      <c r="B2" s="161"/>
    </row>
    <row r="3" spans="1:2" ht="28" x14ac:dyDescent="0.3">
      <c r="A3" s="68" t="s">
        <v>23</v>
      </c>
      <c r="B3" s="149" t="s">
        <v>24</v>
      </c>
    </row>
    <row r="4" spans="1:2" ht="42" x14ac:dyDescent="0.3">
      <c r="A4" s="68" t="s">
        <v>25</v>
      </c>
      <c r="B4" s="149" t="s">
        <v>92</v>
      </c>
    </row>
    <row r="5" spans="1:2" ht="261.64999999999998" customHeight="1" x14ac:dyDescent="0.3">
      <c r="A5" s="68" t="s">
        <v>101</v>
      </c>
      <c r="B5" s="150" t="s">
        <v>93</v>
      </c>
    </row>
    <row r="6" spans="1:2" ht="87" customHeight="1" x14ac:dyDescent="0.3">
      <c r="A6" s="68" t="s">
        <v>26</v>
      </c>
      <c r="B6" s="150" t="s">
        <v>94</v>
      </c>
    </row>
  </sheetData>
  <customSheetViews>
    <customSheetView guid="{CC63F85D-63B9-4AE4-A28C-227DAE744DBC}" showPageBreaks="1" fitToPage="1">
      <selection activeCell="F5" sqref="F5"/>
      <pageMargins left="0.70866141732283472" right="0.70866141732283472" top="0.74803149606299213" bottom="0.74803149606299213" header="0.31496062992125984" footer="0.31496062992125984"/>
      <pageSetup paperSize="9" fitToWidth="0" orientation="landscape" r:id="rId1"/>
    </customSheetView>
    <customSheetView guid="{BE8ADE53-8BEB-4C68-A52B-650D06D579FF}" topLeftCell="A4">
      <selection activeCell="B8" sqref="B8"/>
      <pageMargins left="0.70866141732283472" right="0.70866141732283472" top="0.74803149606299213" bottom="0.74803149606299213" header="0.31496062992125984" footer="0.31496062992125984"/>
      <pageSetup paperSize="9" orientation="landscape" r:id="rId2"/>
    </customSheetView>
    <customSheetView guid="{DD9369C5-0AB7-4492-8028-68BB156F28A4}" scale="91">
      <selection activeCell="B9" sqref="B9"/>
      <pageMargins left="0.70866141732283472" right="0.70866141732283472" top="0.74803149606299213" bottom="0.74803149606299213" header="0.31496062992125984" footer="0.31496062992125984"/>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fitToWidth="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zoomScale="63" zoomScaleNormal="63" workbookViewId="0">
      <selection activeCell="A20" sqref="A20"/>
    </sheetView>
  </sheetViews>
  <sheetFormatPr defaultColWidth="9.1796875" defaultRowHeight="14" x14ac:dyDescent="0.3"/>
  <cols>
    <col min="1" max="1" width="26.1796875" style="2" customWidth="1"/>
    <col min="2" max="2" width="9.1796875" style="2"/>
    <col min="3" max="3" width="10.26953125" style="2" customWidth="1"/>
    <col min="4" max="4" width="10.81640625" style="2" bestFit="1" customWidth="1"/>
    <col min="5" max="5" width="29.26953125" style="2" customWidth="1"/>
    <col min="6" max="6" width="128.81640625" style="2" customWidth="1"/>
    <col min="7" max="7" width="45.54296875" style="2" customWidth="1"/>
    <col min="8" max="8" width="10" style="2" bestFit="1" customWidth="1"/>
    <col min="9" max="9" width="9.1796875" style="2"/>
    <col min="10" max="10" width="9.54296875" style="2" bestFit="1" customWidth="1"/>
    <col min="11" max="16384" width="9.1796875" style="2"/>
  </cols>
  <sheetData>
    <row r="1" spans="1:10" x14ac:dyDescent="0.3">
      <c r="A1" s="188" t="s">
        <v>64</v>
      </c>
      <c r="B1" s="188"/>
      <c r="C1" s="188"/>
      <c r="D1" s="188"/>
      <c r="E1" s="188"/>
      <c r="F1" s="188"/>
      <c r="G1" s="188"/>
      <c r="H1" s="3"/>
    </row>
    <row r="2" spans="1:10" ht="17.149999999999999" customHeight="1" x14ac:dyDescent="0.3">
      <c r="A2" s="189" t="s">
        <v>143</v>
      </c>
      <c r="B2" s="189"/>
      <c r="C2" s="189"/>
      <c r="D2" s="189"/>
      <c r="E2" s="189"/>
      <c r="F2" s="189"/>
      <c r="G2" s="189"/>
    </row>
    <row r="3" spans="1:10" s="7" customFormat="1" ht="56" x14ac:dyDescent="0.25">
      <c r="A3" s="151"/>
      <c r="B3" s="153" t="s">
        <v>10</v>
      </c>
      <c r="C3" s="153" t="s">
        <v>113</v>
      </c>
      <c r="D3" s="199" t="s">
        <v>0</v>
      </c>
      <c r="E3" s="200"/>
      <c r="F3" s="152" t="s">
        <v>27</v>
      </c>
      <c r="G3" s="152" t="s">
        <v>28</v>
      </c>
    </row>
    <row r="4" spans="1:10" x14ac:dyDescent="0.3">
      <c r="A4" s="20" t="s">
        <v>6</v>
      </c>
      <c r="B4" s="62">
        <v>2</v>
      </c>
      <c r="C4" s="21">
        <f>C5+C12</f>
        <v>9.51</v>
      </c>
      <c r="D4" s="22"/>
      <c r="E4" s="23"/>
      <c r="F4" s="20" t="s">
        <v>174</v>
      </c>
      <c r="G4" s="24"/>
      <c r="H4" s="4"/>
      <c r="I4" s="4"/>
      <c r="J4" s="4"/>
    </row>
    <row r="5" spans="1:10" x14ac:dyDescent="0.3">
      <c r="A5" s="181" t="s">
        <v>153</v>
      </c>
      <c r="B5" s="193">
        <v>1</v>
      </c>
      <c r="C5" s="196">
        <f>D11</f>
        <v>9.48</v>
      </c>
      <c r="D5" s="154">
        <v>880</v>
      </c>
      <c r="E5" s="155" t="s">
        <v>146</v>
      </c>
      <c r="F5" s="184" t="s">
        <v>158</v>
      </c>
      <c r="G5" s="201" t="s">
        <v>154</v>
      </c>
      <c r="H5" s="4"/>
      <c r="I5" s="4"/>
      <c r="J5" s="4"/>
    </row>
    <row r="6" spans="1:10" x14ac:dyDescent="0.3">
      <c r="A6" s="182"/>
      <c r="B6" s="194"/>
      <c r="C6" s="197"/>
      <c r="D6" s="154">
        <f>ROUND(880*25%,2)</f>
        <v>220</v>
      </c>
      <c r="E6" s="155" t="s">
        <v>147</v>
      </c>
      <c r="F6" s="185"/>
      <c r="G6" s="202"/>
      <c r="H6" s="4"/>
      <c r="I6" s="4"/>
      <c r="J6" s="4"/>
    </row>
    <row r="7" spans="1:10" ht="14.15" customHeight="1" x14ac:dyDescent="0.3">
      <c r="A7" s="182"/>
      <c r="B7" s="194"/>
      <c r="C7" s="197"/>
      <c r="D7" s="154">
        <f>D5+D6</f>
        <v>1100</v>
      </c>
      <c r="E7" s="155" t="s">
        <v>148</v>
      </c>
      <c r="F7" s="185"/>
      <c r="G7" s="202"/>
      <c r="H7" s="4"/>
      <c r="I7" s="4"/>
      <c r="J7" s="4"/>
    </row>
    <row r="8" spans="1:10" x14ac:dyDescent="0.3">
      <c r="A8" s="182"/>
      <c r="B8" s="194"/>
      <c r="C8" s="197"/>
      <c r="D8" s="154">
        <f>ROUND(D7*23.59%,2)</f>
        <v>259.49</v>
      </c>
      <c r="E8" s="155" t="s">
        <v>149</v>
      </c>
      <c r="F8" s="185"/>
      <c r="G8" s="202"/>
      <c r="H8" s="4"/>
      <c r="I8" s="4"/>
      <c r="J8" s="4"/>
    </row>
    <row r="9" spans="1:10" x14ac:dyDescent="0.3">
      <c r="A9" s="182"/>
      <c r="B9" s="194"/>
      <c r="C9" s="197"/>
      <c r="D9" s="154">
        <f>D7+D8</f>
        <v>1359.49</v>
      </c>
      <c r="E9" s="155" t="s">
        <v>150</v>
      </c>
      <c r="F9" s="185"/>
      <c r="G9" s="202"/>
      <c r="H9" s="4"/>
      <c r="I9" s="4"/>
      <c r="J9" s="4"/>
    </row>
    <row r="10" spans="1:10" x14ac:dyDescent="0.3">
      <c r="A10" s="182"/>
      <c r="B10" s="194"/>
      <c r="C10" s="197"/>
      <c r="D10" s="154">
        <f>ROUND(D9*12,2)</f>
        <v>16313.88</v>
      </c>
      <c r="E10" s="155" t="s">
        <v>151</v>
      </c>
      <c r="F10" s="185"/>
      <c r="G10" s="202"/>
      <c r="H10" s="4"/>
      <c r="I10" s="4"/>
      <c r="J10" s="4"/>
    </row>
    <row r="11" spans="1:10" x14ac:dyDescent="0.3">
      <c r="A11" s="183"/>
      <c r="B11" s="195"/>
      <c r="C11" s="198"/>
      <c r="D11" s="154">
        <f>ROUND(D10/1720,2)</f>
        <v>9.48</v>
      </c>
      <c r="E11" s="155" t="s">
        <v>152</v>
      </c>
      <c r="F11" s="186"/>
      <c r="G11" s="203"/>
      <c r="H11" s="4"/>
      <c r="I11" s="4"/>
      <c r="J11" s="4"/>
    </row>
    <row r="12" spans="1:10" customFormat="1" x14ac:dyDescent="0.25">
      <c r="A12" s="181" t="s">
        <v>157</v>
      </c>
      <c r="B12" s="178">
        <v>1</v>
      </c>
      <c r="C12" s="175">
        <f>D19</f>
        <v>0.03</v>
      </c>
      <c r="D12" s="156">
        <v>942</v>
      </c>
      <c r="E12" s="157" t="s">
        <v>146</v>
      </c>
      <c r="F12" s="184" t="s">
        <v>159</v>
      </c>
      <c r="G12" s="184" t="s">
        <v>95</v>
      </c>
    </row>
    <row r="13" spans="1:10" customFormat="1" x14ac:dyDescent="0.25">
      <c r="A13" s="182"/>
      <c r="B13" s="179"/>
      <c r="C13" s="176"/>
      <c r="D13" s="156">
        <f>ROUND(D12*25%,2)</f>
        <v>235.5</v>
      </c>
      <c r="E13" s="157" t="s">
        <v>147</v>
      </c>
      <c r="F13" s="185"/>
      <c r="G13" s="185"/>
    </row>
    <row r="14" spans="1:10" customFormat="1" ht="14.15" customHeight="1" x14ac:dyDescent="0.25">
      <c r="A14" s="182"/>
      <c r="B14" s="179"/>
      <c r="C14" s="176"/>
      <c r="D14" s="156">
        <f>D12+D13</f>
        <v>1177.5</v>
      </c>
      <c r="E14" s="157" t="s">
        <v>148</v>
      </c>
      <c r="F14" s="185"/>
      <c r="G14" s="185"/>
    </row>
    <row r="15" spans="1:10" customFormat="1" x14ac:dyDescent="0.25">
      <c r="A15" s="182"/>
      <c r="B15" s="179"/>
      <c r="C15" s="176"/>
      <c r="D15" s="156">
        <f>ROUND(D14*23.59%,2)</f>
        <v>277.77</v>
      </c>
      <c r="E15" s="157" t="s">
        <v>149</v>
      </c>
      <c r="F15" s="185"/>
      <c r="G15" s="185"/>
    </row>
    <row r="16" spans="1:10" customFormat="1" x14ac:dyDescent="0.25">
      <c r="A16" s="182"/>
      <c r="B16" s="179"/>
      <c r="C16" s="176"/>
      <c r="D16" s="156">
        <f>D15+D14</f>
        <v>1455.27</v>
      </c>
      <c r="E16" s="157" t="s">
        <v>150</v>
      </c>
      <c r="F16" s="185"/>
      <c r="G16" s="185"/>
    </row>
    <row r="17" spans="1:11" customFormat="1" x14ac:dyDescent="0.25">
      <c r="A17" s="182"/>
      <c r="B17" s="179"/>
      <c r="C17" s="176"/>
      <c r="D17" s="156">
        <f>ROUND(D16*12,2)</f>
        <v>17463.240000000002</v>
      </c>
      <c r="E17" s="157" t="s">
        <v>151</v>
      </c>
      <c r="F17" s="185"/>
      <c r="G17" s="185"/>
    </row>
    <row r="18" spans="1:11" customFormat="1" x14ac:dyDescent="0.25">
      <c r="A18" s="182"/>
      <c r="B18" s="179"/>
      <c r="C18" s="176"/>
      <c r="D18" s="156">
        <f>ROUND(D17/1720,2)</f>
        <v>10.15</v>
      </c>
      <c r="E18" s="157" t="s">
        <v>155</v>
      </c>
      <c r="F18" s="185"/>
      <c r="G18" s="185"/>
    </row>
    <row r="19" spans="1:11" x14ac:dyDescent="0.3">
      <c r="A19" s="183"/>
      <c r="B19" s="180"/>
      <c r="C19" s="177"/>
      <c r="D19" s="156">
        <f>ROUND(D18/400,2)</f>
        <v>0.03</v>
      </c>
      <c r="E19" s="157" t="s">
        <v>156</v>
      </c>
      <c r="F19" s="186"/>
      <c r="G19" s="186"/>
      <c r="H19" s="5"/>
      <c r="I19" s="5"/>
      <c r="J19" s="5"/>
      <c r="K19" s="4"/>
    </row>
    <row r="20" spans="1:11" ht="70" x14ac:dyDescent="0.3">
      <c r="A20" s="76" t="s">
        <v>69</v>
      </c>
      <c r="B20" s="76" t="s">
        <v>145</v>
      </c>
      <c r="C20" s="77">
        <f>SUM(C21:C30)</f>
        <v>0.7</v>
      </c>
      <c r="D20" s="267"/>
      <c r="E20" s="268"/>
      <c r="F20" s="268"/>
      <c r="G20" s="269"/>
      <c r="H20" s="4"/>
    </row>
    <row r="21" spans="1:11" ht="28" x14ac:dyDescent="0.3">
      <c r="A21" s="1" t="str">
        <f>'1.4. pielikums'!B10</f>
        <v>Kancelejas preces un biroja preces</v>
      </c>
      <c r="B21" s="190">
        <v>0.34699999999999998</v>
      </c>
      <c r="C21" s="79">
        <f>ROUND('1.4. pielikums'!AJ10*(1+$B$21),2)</f>
        <v>0.01</v>
      </c>
      <c r="D21" s="163" t="s">
        <v>102</v>
      </c>
      <c r="E21" s="164"/>
      <c r="F21" s="165"/>
      <c r="G21" s="80"/>
      <c r="H21" s="4"/>
    </row>
    <row r="22" spans="1:11" s="8" customFormat="1" ht="28" x14ac:dyDescent="0.3">
      <c r="A22" s="81" t="str">
        <f>'1.4. pielikums'!B8</f>
        <v>Saimniecības un higiēnas preces</v>
      </c>
      <c r="B22" s="191"/>
      <c r="C22" s="82">
        <f>ROUND('1.4. pielikums'!AJ8*(1+$B$21),2)</f>
        <v>7.0000000000000007E-2</v>
      </c>
      <c r="D22" s="166"/>
      <c r="E22" s="167"/>
      <c r="F22" s="168"/>
      <c r="G22" s="83"/>
    </row>
    <row r="23" spans="1:11" s="9" customFormat="1" ht="28" x14ac:dyDescent="0.3">
      <c r="A23" s="84" t="str">
        <f>'1.4. pielikums'!B11</f>
        <v>Transports (degviela, īre, apkope, adrošināšana u.c.)</v>
      </c>
      <c r="B23" s="191"/>
      <c r="C23" s="82">
        <f>ROUND('1.4. pielikums'!AJ11*(1+$B$21),2)</f>
        <v>0.19</v>
      </c>
      <c r="D23" s="166"/>
      <c r="E23" s="167"/>
      <c r="F23" s="168"/>
      <c r="G23" s="85"/>
    </row>
    <row r="24" spans="1:11" s="9" customFormat="1" ht="70" x14ac:dyDescent="0.3">
      <c r="A24" s="69" t="str">
        <f>'1.4. pielikums'!B12</f>
        <v>Telpas (īre, komunālie maksājumi, uzturēšanas pasākumi)</v>
      </c>
      <c r="B24" s="191"/>
      <c r="C24" s="82">
        <f>ROUND('1.4. pielikums'!AJ12*(1+$B$21),2)</f>
        <v>0.09</v>
      </c>
      <c r="D24" s="166"/>
      <c r="E24" s="167"/>
      <c r="F24" s="168"/>
      <c r="G24" s="68" t="s">
        <v>115</v>
      </c>
    </row>
    <row r="25" spans="1:11" ht="28" x14ac:dyDescent="0.3">
      <c r="A25" s="84" t="str">
        <f>'1.4. pielikums'!B16</f>
        <v>Inventārs, inventāra remonts (materiāli un pakalpojums)</v>
      </c>
      <c r="B25" s="191"/>
      <c r="C25" s="82">
        <f>ROUND('1.4. pielikums'!AJ16*(1+$B$21),2)</f>
        <v>0.05</v>
      </c>
      <c r="D25" s="166"/>
      <c r="E25" s="167"/>
      <c r="F25" s="168"/>
      <c r="G25" s="78"/>
    </row>
    <row r="26" spans="1:11" x14ac:dyDescent="0.3">
      <c r="A26" s="69" t="str">
        <f>'1.4. pielikums'!B14</f>
        <v>Darbinieku izglītības izdevumi</v>
      </c>
      <c r="B26" s="191"/>
      <c r="C26" s="82">
        <f>ROUND('1.4. pielikums'!AJ14*(1+$B$21),2)</f>
        <v>0.05</v>
      </c>
      <c r="D26" s="166"/>
      <c r="E26" s="167"/>
      <c r="F26" s="168"/>
      <c r="G26" s="78"/>
    </row>
    <row r="27" spans="1:11" ht="28" x14ac:dyDescent="0.3">
      <c r="A27" s="1" t="str">
        <f>'1.4. pielikums'!B6</f>
        <v>Sakaru pakalpojumi (telefons, internets, pasts)</v>
      </c>
      <c r="B27" s="191"/>
      <c r="C27" s="79">
        <f>ROUND('1.4. pielikums'!AJ6*(1+$B$21),2)</f>
        <v>0.04</v>
      </c>
      <c r="D27" s="166"/>
      <c r="E27" s="167"/>
      <c r="F27" s="168"/>
      <c r="G27" s="78"/>
    </row>
    <row r="28" spans="1:11" ht="56" x14ac:dyDescent="0.3">
      <c r="A28" s="84" t="s">
        <v>5</v>
      </c>
      <c r="B28" s="191"/>
      <c r="C28" s="82">
        <f>ROUND('1.4. pielikums'!AJ15*(1+$B$21),2)</f>
        <v>0.04</v>
      </c>
      <c r="D28" s="169"/>
      <c r="E28" s="170"/>
      <c r="F28" s="171"/>
      <c r="G28" s="78"/>
    </row>
    <row r="29" spans="1:11" ht="42" x14ac:dyDescent="0.3">
      <c r="A29" s="12" t="s">
        <v>62</v>
      </c>
      <c r="B29" s="191"/>
      <c r="C29" s="82">
        <f>ROUND('1.3. pielikums'!F7*(1+$B$21),2)</f>
        <v>0.05</v>
      </c>
      <c r="D29" s="172" t="s">
        <v>103</v>
      </c>
      <c r="E29" s="173"/>
      <c r="F29" s="174"/>
      <c r="G29" s="78"/>
    </row>
    <row r="30" spans="1:11" x14ac:dyDescent="0.3">
      <c r="A30" s="12" t="s">
        <v>80</v>
      </c>
      <c r="B30" s="192"/>
      <c r="C30" s="82">
        <f>ROUND('1.5. pielikums'!G5*(1+$B$21),2)</f>
        <v>0.11</v>
      </c>
      <c r="D30" s="172" t="s">
        <v>114</v>
      </c>
      <c r="E30" s="173"/>
      <c r="F30" s="174"/>
      <c r="G30" s="78"/>
    </row>
    <row r="31" spans="1:11" s="6" customFormat="1" x14ac:dyDescent="0.25">
      <c r="A31" s="60" t="s">
        <v>100</v>
      </c>
      <c r="B31" s="270">
        <f>C20+C4</f>
        <v>10.209999999999999</v>
      </c>
      <c r="C31" s="271"/>
      <c r="D31"/>
      <c r="E31"/>
      <c r="F31" s="61"/>
      <c r="G31" s="61"/>
    </row>
    <row r="32" spans="1:11" x14ac:dyDescent="0.3">
      <c r="C32" s="4"/>
    </row>
    <row r="33" spans="1:7" x14ac:dyDescent="0.3">
      <c r="A33" s="187" t="s">
        <v>173</v>
      </c>
      <c r="B33" s="187"/>
      <c r="C33" s="187"/>
      <c r="D33" s="187"/>
      <c r="E33" s="187"/>
      <c r="F33" s="187"/>
      <c r="G33" s="187"/>
    </row>
  </sheetData>
  <customSheetViews>
    <customSheetView guid="{CC63F85D-63B9-4AE4-A28C-227DAE744DBC}" fitToPage="1" topLeftCell="A4">
      <selection sqref="A1:H1"/>
      <pageMargins left="0.70866141732283472" right="0.70866141732283472" top="0.74803149606299213" bottom="0.74803149606299213" header="0.31496062992125984" footer="0.31496062992125984"/>
      <pageSetup paperSize="9" scale="38" fitToWidth="0" orientation="landscape" r:id="rId1"/>
    </customSheetView>
    <customSheetView guid="{BE8ADE53-8BEB-4C68-A52B-650D06D579FF}" scale="86" showPageBreaks="1" topLeftCell="A10">
      <selection activeCell="K9" sqref="K9"/>
      <pageMargins left="0.70866141732283472" right="0.70866141732283472" top="0.74803149606299213" bottom="0.74803149606299213" header="0.31496062992125984" footer="0.31496062992125984"/>
      <pageSetup paperSize="9" scale="55" orientation="landscape" r:id="rId2"/>
    </customSheetView>
    <customSheetView guid="{DD9369C5-0AB7-4492-8028-68BB156F28A4}" scale="86">
      <selection activeCell="G8" sqref="G8"/>
      <pageMargins left="0.70866141732283472" right="0.70866141732283472" top="0.74803149606299213" bottom="0.74803149606299213" header="0.31496062992125984" footer="0.31496062992125984"/>
      <pageSetup paperSize="9" scale="55" orientation="landscape" r:id="rId3"/>
    </customSheetView>
  </customSheetViews>
  <mergeCells count="20">
    <mergeCell ref="A12:A19"/>
    <mergeCell ref="F12:F19"/>
    <mergeCell ref="G12:G19"/>
    <mergeCell ref="A33:G33"/>
    <mergeCell ref="A1:G1"/>
    <mergeCell ref="A2:G2"/>
    <mergeCell ref="B21:B30"/>
    <mergeCell ref="B5:B11"/>
    <mergeCell ref="C5:C11"/>
    <mergeCell ref="A5:A11"/>
    <mergeCell ref="D3:E3"/>
    <mergeCell ref="F5:F11"/>
    <mergeCell ref="G5:G11"/>
    <mergeCell ref="D20:G20"/>
    <mergeCell ref="B31:C31"/>
    <mergeCell ref="D21:F28"/>
    <mergeCell ref="D29:F29"/>
    <mergeCell ref="D30:F30"/>
    <mergeCell ref="C12:C19"/>
    <mergeCell ref="B12:B19"/>
  </mergeCells>
  <pageMargins left="0.70866141732283472" right="0.70866141732283472" top="0.74803149606299213" bottom="0.74803149606299213" header="0.31496062992125984" footer="0.31496062992125984"/>
  <pageSetup paperSize="9" scale="41" fitToWidth="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9"/>
  <sheetViews>
    <sheetView zoomScaleNormal="100" zoomScaleSheetLayoutView="100" workbookViewId="0">
      <selection sqref="A1:F1"/>
    </sheetView>
  </sheetViews>
  <sheetFormatPr defaultColWidth="9.1796875" defaultRowHeight="14" x14ac:dyDescent="0.3"/>
  <cols>
    <col min="1" max="1" width="24.81640625" style="2" customWidth="1"/>
    <col min="2" max="2" width="14.453125" style="2" customWidth="1"/>
    <col min="3" max="3" width="12.81640625" style="2" customWidth="1"/>
    <col min="4" max="4" width="16" style="2" customWidth="1"/>
    <col min="5" max="5" width="15.7265625" style="2" customWidth="1"/>
    <col min="6" max="6" width="33.7265625" style="2" customWidth="1"/>
    <col min="7" max="16384" width="9.1796875" style="2"/>
  </cols>
  <sheetData>
    <row r="1" spans="1:6" x14ac:dyDescent="0.3">
      <c r="A1" s="188" t="s">
        <v>63</v>
      </c>
      <c r="B1" s="188"/>
      <c r="C1" s="188"/>
      <c r="D1" s="188"/>
      <c r="E1" s="188"/>
      <c r="F1" s="188"/>
    </row>
    <row r="2" spans="1:6" s="7" customFormat="1" ht="17.149999999999999" customHeight="1" x14ac:dyDescent="0.25">
      <c r="A2" s="205" t="s">
        <v>96</v>
      </c>
      <c r="B2" s="205"/>
      <c r="C2" s="205"/>
      <c r="D2" s="205"/>
      <c r="E2" s="205"/>
      <c r="F2" s="205"/>
    </row>
    <row r="3" spans="1:6" ht="57.75" customHeight="1" x14ac:dyDescent="0.3">
      <c r="A3" s="86" t="s">
        <v>106</v>
      </c>
      <c r="B3" s="49" t="s">
        <v>9</v>
      </c>
      <c r="C3" s="49" t="s">
        <v>7</v>
      </c>
      <c r="D3" s="49" t="s">
        <v>59</v>
      </c>
      <c r="E3" s="13" t="s">
        <v>104</v>
      </c>
      <c r="F3" s="13" t="s">
        <v>105</v>
      </c>
    </row>
    <row r="4" spans="1:6" ht="13.5" customHeight="1" x14ac:dyDescent="0.3">
      <c r="A4" s="87">
        <v>1</v>
      </c>
      <c r="B4" s="87">
        <v>2</v>
      </c>
      <c r="C4" s="87">
        <v>3</v>
      </c>
      <c r="D4" s="88" t="s">
        <v>60</v>
      </c>
      <c r="E4" s="87" t="s">
        <v>61</v>
      </c>
      <c r="F4" s="272" t="s">
        <v>175</v>
      </c>
    </row>
    <row r="5" spans="1:6" ht="12.75" customHeight="1" x14ac:dyDescent="0.3">
      <c r="A5" s="69" t="s">
        <v>90</v>
      </c>
      <c r="B5" s="89">
        <v>400</v>
      </c>
      <c r="C5" s="90">
        <v>1</v>
      </c>
      <c r="D5" s="91">
        <f>ROUND(C5*213.43,2)</f>
        <v>213.43</v>
      </c>
      <c r="E5" s="92">
        <f>ROUND(D5/B5,2)</f>
        <v>0.53</v>
      </c>
      <c r="F5" s="158">
        <f>ROUNDUP(E5/215/8,2)</f>
        <v>0.01</v>
      </c>
    </row>
    <row r="6" spans="1:6" x14ac:dyDescent="0.3">
      <c r="A6" s="69" t="s">
        <v>3</v>
      </c>
      <c r="B6" s="89">
        <v>4</v>
      </c>
      <c r="C6" s="90">
        <v>1</v>
      </c>
      <c r="D6" s="91">
        <f>ROUND(C6*213.43,2)</f>
        <v>213.43</v>
      </c>
      <c r="E6" s="92">
        <f>ROUND(D6/B6,2)</f>
        <v>53.36</v>
      </c>
      <c r="F6" s="158">
        <f>ROUND(E6/215/8,2)</f>
        <v>0.03</v>
      </c>
    </row>
    <row r="7" spans="1:6" x14ac:dyDescent="0.3">
      <c r="A7" s="93" t="s">
        <v>100</v>
      </c>
      <c r="B7" s="94" t="s">
        <v>2</v>
      </c>
      <c r="C7" s="95">
        <f>SUM(C5:C6)</f>
        <v>2</v>
      </c>
      <c r="D7" s="96">
        <f>ROUND(SUM(D5:D6),2)</f>
        <v>426.86</v>
      </c>
      <c r="E7" s="96">
        <f>ROUND(SUM(E5:E6),2)</f>
        <v>53.89</v>
      </c>
      <c r="F7" s="96">
        <f>ROUND(SUM(F5:F6),2)</f>
        <v>0.04</v>
      </c>
    </row>
    <row r="8" spans="1:6" x14ac:dyDescent="0.3">
      <c r="A8" s="97"/>
      <c r="B8" s="98"/>
      <c r="C8" s="99"/>
      <c r="D8" s="100"/>
      <c r="E8" s="100"/>
      <c r="F8" s="100"/>
    </row>
    <row r="9" spans="1:6" ht="135.75" customHeight="1" x14ac:dyDescent="0.3">
      <c r="A9" s="204" t="s">
        <v>176</v>
      </c>
      <c r="B9" s="204"/>
      <c r="C9" s="204"/>
      <c r="D9" s="204"/>
      <c r="E9" s="204"/>
      <c r="F9" s="204"/>
    </row>
  </sheetData>
  <customSheetViews>
    <customSheetView guid="{CC63F85D-63B9-4AE4-A28C-227DAE744DBC}">
      <selection sqref="A1:F1"/>
      <pageMargins left="0.70866141732283472" right="0.70866141732283472" top="0.74803149606299213" bottom="0.74803149606299213" header="0.31496062992125984" footer="0.31496062992125984"/>
      <pageSetup paperSize="9" scale="60" orientation="landscape" r:id="rId1"/>
    </customSheetView>
    <customSheetView guid="{BE8ADE53-8BEB-4C68-A52B-650D06D579FF}">
      <selection activeCell="K11" sqref="K11"/>
      <pageMargins left="0.70866141732283472" right="0.70866141732283472" top="0.74803149606299213" bottom="0.74803149606299213" header="0.31496062992125984" footer="0.31496062992125984"/>
      <pageSetup paperSize="9" scale="60" orientation="landscape" r:id="rId2"/>
    </customSheetView>
    <customSheetView guid="{DD9369C5-0AB7-4492-8028-68BB156F28A4}">
      <selection activeCell="E9" sqref="E9"/>
      <pageMargins left="0.70866141732283472" right="0.70866141732283472" top="0.74803149606299213" bottom="0.74803149606299213" header="0.31496062992125984" footer="0.31496062992125984"/>
      <pageSetup paperSize="9" scale="60" orientation="landscape" r:id="rId3"/>
    </customSheetView>
  </customSheetViews>
  <mergeCells count="3">
    <mergeCell ref="A9:F9"/>
    <mergeCell ref="A2:F2"/>
    <mergeCell ref="A1:F1"/>
  </mergeCells>
  <pageMargins left="0.70866141732283472" right="0.70866141732283472" top="0.74803149606299213" bottom="0.74803149606299213" header="0.31496062992125984" footer="0.31496062992125984"/>
  <pageSetup paperSize="9" scale="6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3"/>
  <sheetViews>
    <sheetView zoomScale="64" zoomScaleNormal="64" workbookViewId="0">
      <selection sqref="A1:AJ1"/>
    </sheetView>
  </sheetViews>
  <sheetFormatPr defaultColWidth="9.1796875" defaultRowHeight="14" x14ac:dyDescent="0.25"/>
  <cols>
    <col min="1" max="1" width="4.453125" style="14" customWidth="1"/>
    <col min="2" max="2" width="23.7265625" style="14" customWidth="1"/>
    <col min="3" max="12" width="6.26953125" style="14" customWidth="1"/>
    <col min="13" max="13" width="12" style="14" customWidth="1"/>
    <col min="14" max="23" width="6.26953125" style="14" customWidth="1"/>
    <col min="24" max="24" width="12" style="14" customWidth="1"/>
    <col min="25" max="34" width="6.26953125" style="14" customWidth="1"/>
    <col min="35" max="36" width="12" style="14" customWidth="1"/>
    <col min="37" max="37" width="9.1796875" style="14"/>
    <col min="38" max="38" width="9.1796875" style="14" customWidth="1"/>
    <col min="39" max="16384" width="9.1796875" style="14"/>
  </cols>
  <sheetData>
    <row r="1" spans="1:38" x14ac:dyDescent="0.25">
      <c r="A1" s="206" t="s">
        <v>65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row>
    <row r="2" spans="1:38" s="7" customFormat="1" ht="17.149999999999999" customHeight="1" thickBot="1" x14ac:dyDescent="0.3">
      <c r="A2" s="161" t="s">
        <v>99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38" ht="30.75" customHeight="1" thickBot="1" x14ac:dyDescent="0.3">
      <c r="A3" s="209" t="s">
        <v>78</v>
      </c>
      <c r="B3" s="207" t="s">
        <v>29</v>
      </c>
      <c r="C3" s="212" t="s">
        <v>107</v>
      </c>
      <c r="D3" s="213"/>
      <c r="E3" s="213"/>
      <c r="F3" s="213"/>
      <c r="G3" s="213"/>
      <c r="H3" s="213"/>
      <c r="I3" s="213"/>
      <c r="J3" s="213"/>
      <c r="K3" s="213"/>
      <c r="L3" s="213"/>
      <c r="M3" s="214"/>
      <c r="N3" s="215" t="s">
        <v>108</v>
      </c>
      <c r="O3" s="215"/>
      <c r="P3" s="215"/>
      <c r="Q3" s="215"/>
      <c r="R3" s="215"/>
      <c r="S3" s="215"/>
      <c r="T3" s="215"/>
      <c r="U3" s="215"/>
      <c r="V3" s="215"/>
      <c r="W3" s="215"/>
      <c r="X3" s="216"/>
      <c r="Y3" s="212" t="s">
        <v>109</v>
      </c>
      <c r="Z3" s="219"/>
      <c r="AA3" s="219"/>
      <c r="AB3" s="219"/>
      <c r="AC3" s="219"/>
      <c r="AD3" s="219"/>
      <c r="AE3" s="219"/>
      <c r="AF3" s="219"/>
      <c r="AG3" s="219"/>
      <c r="AH3" s="219"/>
      <c r="AI3" s="220"/>
      <c r="AJ3" s="217" t="s">
        <v>133</v>
      </c>
    </row>
    <row r="4" spans="1:38" x14ac:dyDescent="0.25">
      <c r="A4" s="210"/>
      <c r="B4" s="208"/>
      <c r="C4" s="101" t="s">
        <v>30</v>
      </c>
      <c r="D4" s="101" t="s">
        <v>31</v>
      </c>
      <c r="E4" s="101" t="s">
        <v>32</v>
      </c>
      <c r="F4" s="101" t="s">
        <v>33</v>
      </c>
      <c r="G4" s="101" t="s">
        <v>34</v>
      </c>
      <c r="H4" s="101" t="s">
        <v>35</v>
      </c>
      <c r="I4" s="101" t="s">
        <v>36</v>
      </c>
      <c r="J4" s="101" t="s">
        <v>37</v>
      </c>
      <c r="K4" s="101" t="s">
        <v>38</v>
      </c>
      <c r="L4" s="102" t="s">
        <v>39</v>
      </c>
      <c r="M4" s="103" t="s">
        <v>130</v>
      </c>
      <c r="N4" s="104" t="s">
        <v>30</v>
      </c>
      <c r="O4" s="101" t="s">
        <v>31</v>
      </c>
      <c r="P4" s="101" t="s">
        <v>32</v>
      </c>
      <c r="Q4" s="101" t="s">
        <v>33</v>
      </c>
      <c r="R4" s="101" t="s">
        <v>34</v>
      </c>
      <c r="S4" s="101" t="s">
        <v>35</v>
      </c>
      <c r="T4" s="101" t="s">
        <v>36</v>
      </c>
      <c r="U4" s="101" t="s">
        <v>37</v>
      </c>
      <c r="V4" s="101" t="s">
        <v>38</v>
      </c>
      <c r="W4" s="102" t="s">
        <v>39</v>
      </c>
      <c r="X4" s="103" t="s">
        <v>131</v>
      </c>
      <c r="Y4" s="104" t="s">
        <v>30</v>
      </c>
      <c r="Z4" s="101" t="s">
        <v>31</v>
      </c>
      <c r="AA4" s="101" t="s">
        <v>32</v>
      </c>
      <c r="AB4" s="101" t="s">
        <v>33</v>
      </c>
      <c r="AC4" s="101" t="s">
        <v>34</v>
      </c>
      <c r="AD4" s="101" t="s">
        <v>35</v>
      </c>
      <c r="AE4" s="101" t="s">
        <v>36</v>
      </c>
      <c r="AF4" s="101" t="s">
        <v>37</v>
      </c>
      <c r="AG4" s="101" t="s">
        <v>38</v>
      </c>
      <c r="AH4" s="102" t="s">
        <v>39</v>
      </c>
      <c r="AI4" s="103" t="s">
        <v>132</v>
      </c>
      <c r="AJ4" s="218"/>
      <c r="AL4" s="15"/>
    </row>
    <row r="5" spans="1:38" x14ac:dyDescent="0.25">
      <c r="A5" s="11">
        <v>1</v>
      </c>
      <c r="B5" s="105" t="s">
        <v>126</v>
      </c>
      <c r="C5" s="106">
        <v>2.97</v>
      </c>
      <c r="D5" s="107">
        <v>2.92</v>
      </c>
      <c r="E5" s="107">
        <v>2.98</v>
      </c>
      <c r="F5" s="106">
        <v>2.79</v>
      </c>
      <c r="G5" s="106">
        <v>2.91</v>
      </c>
      <c r="H5" s="107">
        <v>2.2200000000000002</v>
      </c>
      <c r="I5" s="107">
        <v>3.14</v>
      </c>
      <c r="J5" s="107">
        <v>2.4394</v>
      </c>
      <c r="K5" s="107">
        <v>3.33</v>
      </c>
      <c r="L5" s="108">
        <v>2.1800000000000002</v>
      </c>
      <c r="M5" s="109">
        <f>AVERAGE(C5:L5)</f>
        <v>2.7879399999999999</v>
      </c>
      <c r="N5" s="110">
        <v>3.34</v>
      </c>
      <c r="O5" s="107">
        <v>3.33</v>
      </c>
      <c r="P5" s="107">
        <v>3.32</v>
      </c>
      <c r="Q5" s="107">
        <v>3.11</v>
      </c>
      <c r="R5" s="107">
        <v>3.26</v>
      </c>
      <c r="S5" s="107">
        <v>2.391</v>
      </c>
      <c r="T5" s="107">
        <v>3.27</v>
      </c>
      <c r="U5" s="107">
        <v>2.2484999999999999</v>
      </c>
      <c r="V5" s="107">
        <v>3.4209999999999998</v>
      </c>
      <c r="W5" s="108">
        <v>2.1800000000000002</v>
      </c>
      <c r="X5" s="109">
        <f>ROUND(AVERAGE(N5:W5),2)</f>
        <v>2.99</v>
      </c>
      <c r="Y5" s="111">
        <v>3.34</v>
      </c>
      <c r="Z5" s="107">
        <v>3.33</v>
      </c>
      <c r="AA5" s="107">
        <v>3.32</v>
      </c>
      <c r="AB5" s="107">
        <v>3.11</v>
      </c>
      <c r="AC5" s="107">
        <v>3.26</v>
      </c>
      <c r="AD5" s="107">
        <v>2.5499999999999998</v>
      </c>
      <c r="AE5" s="107">
        <v>4.2699999999999996</v>
      </c>
      <c r="AF5" s="107">
        <v>2.86</v>
      </c>
      <c r="AG5" s="107">
        <v>3.71</v>
      </c>
      <c r="AH5" s="112">
        <v>2.34</v>
      </c>
      <c r="AI5" s="113">
        <f>ROUND(AVERAGE(Y5:AH5),2)</f>
        <v>3.21</v>
      </c>
      <c r="AJ5" s="114">
        <f>ROUND((M5+X5+AI5)/3,2)</f>
        <v>3</v>
      </c>
      <c r="AL5" s="16"/>
    </row>
    <row r="6" spans="1:38" ht="28" x14ac:dyDescent="0.25">
      <c r="A6" s="11">
        <v>2</v>
      </c>
      <c r="B6" s="69" t="s">
        <v>8</v>
      </c>
      <c r="C6" s="107">
        <v>0.02</v>
      </c>
      <c r="D6" s="107">
        <v>0.03</v>
      </c>
      <c r="E6" s="107">
        <v>0.02</v>
      </c>
      <c r="F6" s="106">
        <v>0.08</v>
      </c>
      <c r="G6" s="106">
        <v>0.01</v>
      </c>
      <c r="H6" s="107">
        <v>3.0000000000000001E-3</v>
      </c>
      <c r="I6" s="107">
        <v>0.05</v>
      </c>
      <c r="J6" s="107">
        <v>3.5000000000000001E-3</v>
      </c>
      <c r="K6" s="107">
        <v>5.7000000000000002E-2</v>
      </c>
      <c r="L6" s="108">
        <v>0.01</v>
      </c>
      <c r="M6" s="109">
        <f t="shared" ref="M6:M16" si="0">AVERAGE(C6:L6)</f>
        <v>2.8350000000000004E-2</v>
      </c>
      <c r="N6" s="110">
        <v>0.04</v>
      </c>
      <c r="O6" s="107">
        <v>0.03</v>
      </c>
      <c r="P6" s="107">
        <v>0.02</v>
      </c>
      <c r="Q6" s="107">
        <v>0.08</v>
      </c>
      <c r="R6" s="107">
        <v>0.01</v>
      </c>
      <c r="S6" s="107">
        <v>3.0000000000000001E-3</v>
      </c>
      <c r="T6" s="107">
        <v>0.05</v>
      </c>
      <c r="U6" s="107">
        <v>7.4999999999999997E-3</v>
      </c>
      <c r="V6" s="107">
        <v>4.9000000000000002E-2</v>
      </c>
      <c r="W6" s="108">
        <v>0.01</v>
      </c>
      <c r="X6" s="109">
        <f>ROUND(AVERAGE(N6:W6),2)</f>
        <v>0.03</v>
      </c>
      <c r="Y6" s="111">
        <v>0.04</v>
      </c>
      <c r="Z6" s="107">
        <v>0.03</v>
      </c>
      <c r="AA6" s="107">
        <v>0.02</v>
      </c>
      <c r="AB6" s="107">
        <v>0.08</v>
      </c>
      <c r="AC6" s="107">
        <v>0.01</v>
      </c>
      <c r="AD6" s="107">
        <v>3.7000000000000002E-3</v>
      </c>
      <c r="AE6" s="141" t="s">
        <v>125</v>
      </c>
      <c r="AF6" s="107">
        <v>0.01</v>
      </c>
      <c r="AG6" s="107">
        <v>0.05</v>
      </c>
      <c r="AH6" s="112">
        <v>0.01</v>
      </c>
      <c r="AI6" s="113">
        <f>ROUND(AVERAGE(Y6:AH6),2)</f>
        <v>0.03</v>
      </c>
      <c r="AJ6" s="115">
        <f>ROUND((M6+X6+AI6)/3,2)</f>
        <v>0.03</v>
      </c>
      <c r="AL6" s="17"/>
    </row>
    <row r="7" spans="1:38" x14ac:dyDescent="0.25">
      <c r="A7" s="11">
        <v>3</v>
      </c>
      <c r="B7" s="69" t="s">
        <v>127</v>
      </c>
      <c r="C7" s="141" t="s">
        <v>125</v>
      </c>
      <c r="D7" s="141" t="s">
        <v>125</v>
      </c>
      <c r="E7" s="141" t="s">
        <v>125</v>
      </c>
      <c r="F7" s="141" t="s">
        <v>125</v>
      </c>
      <c r="G7" s="141" t="s">
        <v>125</v>
      </c>
      <c r="H7" s="141" t="s">
        <v>125</v>
      </c>
      <c r="I7" s="141" t="s">
        <v>125</v>
      </c>
      <c r="J7" s="141" t="s">
        <v>125</v>
      </c>
      <c r="K7" s="141" t="s">
        <v>125</v>
      </c>
      <c r="L7" s="142" t="s">
        <v>125</v>
      </c>
      <c r="M7" s="109">
        <v>0</v>
      </c>
      <c r="N7" s="144" t="s">
        <v>125</v>
      </c>
      <c r="O7" s="141" t="s">
        <v>125</v>
      </c>
      <c r="P7" s="141" t="s">
        <v>125</v>
      </c>
      <c r="Q7" s="141" t="s">
        <v>125</v>
      </c>
      <c r="R7" s="141" t="s">
        <v>125</v>
      </c>
      <c r="S7" s="141" t="s">
        <v>125</v>
      </c>
      <c r="T7" s="141" t="s">
        <v>125</v>
      </c>
      <c r="U7" s="141" t="s">
        <v>125</v>
      </c>
      <c r="V7" s="141" t="s">
        <v>125</v>
      </c>
      <c r="W7" s="142" t="s">
        <v>125</v>
      </c>
      <c r="X7" s="109">
        <v>0</v>
      </c>
      <c r="Y7" s="145" t="s">
        <v>125</v>
      </c>
      <c r="Z7" s="141" t="s">
        <v>125</v>
      </c>
      <c r="AA7" s="141" t="s">
        <v>125</v>
      </c>
      <c r="AB7" s="141" t="s">
        <v>125</v>
      </c>
      <c r="AC7" s="141" t="s">
        <v>125</v>
      </c>
      <c r="AD7" s="141" t="s">
        <v>125</v>
      </c>
      <c r="AE7" s="141" t="s">
        <v>125</v>
      </c>
      <c r="AF7" s="141" t="s">
        <v>125</v>
      </c>
      <c r="AG7" s="141" t="s">
        <v>125</v>
      </c>
      <c r="AH7" s="146" t="s">
        <v>125</v>
      </c>
      <c r="AI7" s="113">
        <v>0</v>
      </c>
      <c r="AJ7" s="115">
        <f t="shared" ref="AJ7:AJ16" si="1">ROUND((M7+X7+AI7)/3,2)</f>
        <v>0</v>
      </c>
      <c r="AL7" s="17"/>
    </row>
    <row r="8" spans="1:38" ht="28" x14ac:dyDescent="0.25">
      <c r="A8" s="11">
        <v>4</v>
      </c>
      <c r="B8" s="69" t="s">
        <v>4</v>
      </c>
      <c r="C8" s="107">
        <v>0.02</v>
      </c>
      <c r="D8" s="107">
        <v>0.02</v>
      </c>
      <c r="E8" s="107">
        <v>0.04</v>
      </c>
      <c r="F8" s="106">
        <v>0.13</v>
      </c>
      <c r="G8" s="106">
        <v>0.03</v>
      </c>
      <c r="H8" s="141" t="s">
        <v>125</v>
      </c>
      <c r="I8" s="107">
        <v>0.03</v>
      </c>
      <c r="J8" s="107">
        <v>1.1000000000000001E-3</v>
      </c>
      <c r="K8" s="107">
        <v>2.5000000000000001E-2</v>
      </c>
      <c r="L8" s="142" t="s">
        <v>125</v>
      </c>
      <c r="M8" s="109">
        <f t="shared" si="0"/>
        <v>3.7012500000000004E-2</v>
      </c>
      <c r="N8" s="110">
        <v>0.02</v>
      </c>
      <c r="O8" s="107">
        <v>0.03</v>
      </c>
      <c r="P8" s="107">
        <v>0.04</v>
      </c>
      <c r="Q8" s="107">
        <v>0.13</v>
      </c>
      <c r="R8" s="107">
        <v>0.02</v>
      </c>
      <c r="S8" s="141" t="s">
        <v>125</v>
      </c>
      <c r="T8" s="107">
        <v>0.03</v>
      </c>
      <c r="U8" s="107">
        <v>1.1999999999999999E-3</v>
      </c>
      <c r="V8" s="107">
        <v>2.1000000000000001E-2</v>
      </c>
      <c r="W8" s="142" t="s">
        <v>125</v>
      </c>
      <c r="X8" s="109">
        <f t="shared" ref="X8:X16" si="2">ROUND(AVERAGE(N8:W8),2)</f>
        <v>0.04</v>
      </c>
      <c r="Y8" s="111">
        <v>0.02</v>
      </c>
      <c r="Z8" s="107">
        <v>0.03</v>
      </c>
      <c r="AA8" s="107">
        <v>0.04</v>
      </c>
      <c r="AB8" s="107">
        <v>0.13</v>
      </c>
      <c r="AC8" s="107">
        <v>0.02</v>
      </c>
      <c r="AD8" s="141" t="s">
        <v>125</v>
      </c>
      <c r="AE8" s="116">
        <v>0.46</v>
      </c>
      <c r="AF8" s="107">
        <v>0</v>
      </c>
      <c r="AG8" s="107">
        <v>0.02</v>
      </c>
      <c r="AH8" s="112">
        <v>0.01</v>
      </c>
      <c r="AI8" s="113">
        <f t="shared" ref="AI8:AI16" si="3">ROUND(AVERAGE(Y8:AH8),2)</f>
        <v>0.08</v>
      </c>
      <c r="AJ8" s="115">
        <f t="shared" si="1"/>
        <v>0.05</v>
      </c>
      <c r="AL8" s="17"/>
    </row>
    <row r="9" spans="1:38" ht="28" x14ac:dyDescent="0.25">
      <c r="A9" s="11">
        <v>5</v>
      </c>
      <c r="B9" s="69" t="s">
        <v>128</v>
      </c>
      <c r="C9" s="107">
        <v>0.01</v>
      </c>
      <c r="D9" s="107">
        <v>0.02</v>
      </c>
      <c r="E9" s="141" t="s">
        <v>125</v>
      </c>
      <c r="F9" s="141" t="s">
        <v>125</v>
      </c>
      <c r="G9" s="106">
        <v>0.02</v>
      </c>
      <c r="H9" s="141" t="s">
        <v>125</v>
      </c>
      <c r="I9" s="141" t="s">
        <v>125</v>
      </c>
      <c r="J9" s="141" t="s">
        <v>125</v>
      </c>
      <c r="K9" s="141" t="s">
        <v>125</v>
      </c>
      <c r="L9" s="142" t="s">
        <v>125</v>
      </c>
      <c r="M9" s="109">
        <f t="shared" si="0"/>
        <v>1.6666666666666666E-2</v>
      </c>
      <c r="N9" s="110">
        <v>0.04</v>
      </c>
      <c r="O9" s="107">
        <v>0.01</v>
      </c>
      <c r="P9" s="141" t="s">
        <v>125</v>
      </c>
      <c r="Q9" s="141" t="s">
        <v>125</v>
      </c>
      <c r="R9" s="107">
        <v>0.01</v>
      </c>
      <c r="S9" s="141" t="s">
        <v>125</v>
      </c>
      <c r="T9" s="141" t="s">
        <v>125</v>
      </c>
      <c r="U9" s="141" t="s">
        <v>125</v>
      </c>
      <c r="V9" s="141" t="s">
        <v>125</v>
      </c>
      <c r="W9" s="142" t="s">
        <v>125</v>
      </c>
      <c r="X9" s="109">
        <f t="shared" si="2"/>
        <v>0.02</v>
      </c>
      <c r="Y9" s="111">
        <v>0.04</v>
      </c>
      <c r="Z9" s="107">
        <v>0.01</v>
      </c>
      <c r="AA9" s="141" t="s">
        <v>125</v>
      </c>
      <c r="AB9" s="141" t="s">
        <v>125</v>
      </c>
      <c r="AC9" s="107">
        <v>0.01</v>
      </c>
      <c r="AD9" s="141" t="s">
        <v>125</v>
      </c>
      <c r="AE9" s="141" t="s">
        <v>125</v>
      </c>
      <c r="AF9" s="141" t="s">
        <v>125</v>
      </c>
      <c r="AG9" s="141" t="s">
        <v>125</v>
      </c>
      <c r="AH9" s="146" t="s">
        <v>125</v>
      </c>
      <c r="AI9" s="113">
        <f t="shared" si="3"/>
        <v>0.02</v>
      </c>
      <c r="AJ9" s="115">
        <f t="shared" si="1"/>
        <v>0.02</v>
      </c>
      <c r="AL9" s="17"/>
    </row>
    <row r="10" spans="1:38" ht="28" x14ac:dyDescent="0.25">
      <c r="A10" s="11">
        <v>6</v>
      </c>
      <c r="B10" s="69" t="s">
        <v>57</v>
      </c>
      <c r="C10" s="107">
        <v>0.01</v>
      </c>
      <c r="D10" s="107">
        <v>0.02</v>
      </c>
      <c r="E10" s="107">
        <v>0.03</v>
      </c>
      <c r="F10" s="106">
        <v>0.03</v>
      </c>
      <c r="G10" s="106">
        <v>0.01</v>
      </c>
      <c r="H10" s="107">
        <v>1.2999999999999999E-3</v>
      </c>
      <c r="I10" s="141" t="s">
        <v>125</v>
      </c>
      <c r="J10" s="107">
        <v>1.6000000000000001E-3</v>
      </c>
      <c r="K10" s="107">
        <v>0.02</v>
      </c>
      <c r="L10" s="108">
        <v>0.01</v>
      </c>
      <c r="M10" s="109">
        <f t="shared" si="0"/>
        <v>1.4766666666666666E-2</v>
      </c>
      <c r="N10" s="110">
        <v>0.01</v>
      </c>
      <c r="O10" s="107">
        <v>0.01</v>
      </c>
      <c r="P10" s="107">
        <v>0.03</v>
      </c>
      <c r="Q10" s="107">
        <v>0.03</v>
      </c>
      <c r="R10" s="107">
        <v>0.01</v>
      </c>
      <c r="S10" s="107">
        <v>2.5000000000000001E-3</v>
      </c>
      <c r="T10" s="141" t="s">
        <v>125</v>
      </c>
      <c r="U10" s="117">
        <v>1.1999999999999999E-3</v>
      </c>
      <c r="V10" s="107">
        <v>1.6E-2</v>
      </c>
      <c r="W10" s="108">
        <v>0.01</v>
      </c>
      <c r="X10" s="109">
        <f t="shared" si="2"/>
        <v>0.01</v>
      </c>
      <c r="Y10" s="111">
        <v>0.01</v>
      </c>
      <c r="Z10" s="107">
        <v>0.01</v>
      </c>
      <c r="AA10" s="107">
        <v>0.03</v>
      </c>
      <c r="AB10" s="107">
        <v>0.03</v>
      </c>
      <c r="AC10" s="107">
        <v>0.01</v>
      </c>
      <c r="AD10" s="107">
        <v>0</v>
      </c>
      <c r="AE10" s="141" t="s">
        <v>125</v>
      </c>
      <c r="AF10" s="107">
        <v>0</v>
      </c>
      <c r="AG10" s="107">
        <v>0.02</v>
      </c>
      <c r="AH10" s="112">
        <v>0.03</v>
      </c>
      <c r="AI10" s="113">
        <f t="shared" si="3"/>
        <v>0.02</v>
      </c>
      <c r="AJ10" s="115">
        <f t="shared" si="1"/>
        <v>0.01</v>
      </c>
      <c r="AL10" s="17"/>
    </row>
    <row r="11" spans="1:38" ht="28" x14ac:dyDescent="0.25">
      <c r="A11" s="11">
        <v>7</v>
      </c>
      <c r="B11" s="69" t="s">
        <v>40</v>
      </c>
      <c r="C11" s="107">
        <v>0.17</v>
      </c>
      <c r="D11" s="107">
        <v>0.15</v>
      </c>
      <c r="E11" s="107">
        <v>0.12</v>
      </c>
      <c r="F11" s="106">
        <v>0.12</v>
      </c>
      <c r="G11" s="106">
        <v>0.15</v>
      </c>
      <c r="H11" s="107">
        <v>0.03</v>
      </c>
      <c r="I11" s="107">
        <v>0.04</v>
      </c>
      <c r="J11" s="141" t="s">
        <v>125</v>
      </c>
      <c r="K11" s="107">
        <v>0.14000000000000001</v>
      </c>
      <c r="L11" s="108">
        <v>0.05</v>
      </c>
      <c r="M11" s="109">
        <f t="shared" si="0"/>
        <v>0.10777777777777781</v>
      </c>
      <c r="N11" s="110">
        <v>0.14000000000000001</v>
      </c>
      <c r="O11" s="107">
        <v>0.15</v>
      </c>
      <c r="P11" s="107">
        <v>0.24</v>
      </c>
      <c r="Q11" s="107">
        <v>0.2</v>
      </c>
      <c r="R11" s="107">
        <v>0.3</v>
      </c>
      <c r="S11" s="107">
        <v>0.03</v>
      </c>
      <c r="T11" s="107">
        <v>0.04</v>
      </c>
      <c r="U11" s="141" t="s">
        <v>125</v>
      </c>
      <c r="V11" s="107">
        <v>0.16</v>
      </c>
      <c r="W11" s="108">
        <v>0.05</v>
      </c>
      <c r="X11" s="109">
        <f t="shared" si="2"/>
        <v>0.15</v>
      </c>
      <c r="Y11" s="111">
        <v>0.14000000000000001</v>
      </c>
      <c r="Z11" s="107">
        <v>0.15</v>
      </c>
      <c r="AA11" s="107">
        <v>0.24</v>
      </c>
      <c r="AB11" s="107">
        <v>0.2</v>
      </c>
      <c r="AC11" s="107">
        <v>0.3</v>
      </c>
      <c r="AD11" s="107">
        <v>0.04</v>
      </c>
      <c r="AE11" s="141" t="s">
        <v>125</v>
      </c>
      <c r="AF11" s="141" t="s">
        <v>125</v>
      </c>
      <c r="AG11" s="107">
        <v>0.17</v>
      </c>
      <c r="AH11" s="112">
        <v>0.05</v>
      </c>
      <c r="AI11" s="113">
        <f t="shared" si="3"/>
        <v>0.16</v>
      </c>
      <c r="AJ11" s="115">
        <f t="shared" si="1"/>
        <v>0.14000000000000001</v>
      </c>
      <c r="AL11" s="17"/>
    </row>
    <row r="12" spans="1:38" ht="42" x14ac:dyDescent="0.25">
      <c r="A12" s="11">
        <v>8</v>
      </c>
      <c r="B12" s="69" t="s">
        <v>41</v>
      </c>
      <c r="C12" s="107">
        <v>0.03</v>
      </c>
      <c r="D12" s="107">
        <v>0.05</v>
      </c>
      <c r="E12" s="107">
        <v>0.02</v>
      </c>
      <c r="F12" s="118">
        <v>0.01</v>
      </c>
      <c r="G12" s="118">
        <v>0.02</v>
      </c>
      <c r="H12" s="141" t="s">
        <v>125</v>
      </c>
      <c r="I12" s="107">
        <v>0.27</v>
      </c>
      <c r="J12" s="107">
        <v>0.04</v>
      </c>
      <c r="K12" s="107">
        <v>0.1</v>
      </c>
      <c r="L12" s="142" t="s">
        <v>125</v>
      </c>
      <c r="M12" s="109">
        <f t="shared" si="0"/>
        <v>6.7500000000000004E-2</v>
      </c>
      <c r="N12" s="110">
        <v>0.03</v>
      </c>
      <c r="O12" s="107">
        <v>0.03</v>
      </c>
      <c r="P12" s="107">
        <v>0.02</v>
      </c>
      <c r="Q12" s="107">
        <v>0.01</v>
      </c>
      <c r="R12" s="107">
        <v>0.01</v>
      </c>
      <c r="S12" s="141" t="s">
        <v>125</v>
      </c>
      <c r="T12" s="107">
        <v>0.31</v>
      </c>
      <c r="U12" s="107">
        <v>0.05</v>
      </c>
      <c r="V12" s="107">
        <v>0.09</v>
      </c>
      <c r="W12" s="142" t="s">
        <v>125</v>
      </c>
      <c r="X12" s="109">
        <f t="shared" si="2"/>
        <v>7.0000000000000007E-2</v>
      </c>
      <c r="Y12" s="111">
        <v>0.03</v>
      </c>
      <c r="Z12" s="107">
        <v>0.03</v>
      </c>
      <c r="AA12" s="107">
        <v>0.02</v>
      </c>
      <c r="AB12" s="107">
        <v>0.01</v>
      </c>
      <c r="AC12" s="107">
        <v>0.01</v>
      </c>
      <c r="AD12" s="141" t="s">
        <v>125</v>
      </c>
      <c r="AE12" s="116">
        <v>0.37</v>
      </c>
      <c r="AF12" s="107">
        <v>0.05</v>
      </c>
      <c r="AG12" s="107">
        <v>0.09</v>
      </c>
      <c r="AH12" s="146" t="s">
        <v>125</v>
      </c>
      <c r="AI12" s="113">
        <f t="shared" si="3"/>
        <v>0.08</v>
      </c>
      <c r="AJ12" s="115">
        <f t="shared" si="1"/>
        <v>7.0000000000000007E-2</v>
      </c>
      <c r="AL12" s="17"/>
    </row>
    <row r="13" spans="1:38" ht="28" x14ac:dyDescent="0.25">
      <c r="A13" s="11">
        <v>9</v>
      </c>
      <c r="B13" s="69" t="s">
        <v>42</v>
      </c>
      <c r="C13" s="106">
        <v>0.04</v>
      </c>
      <c r="D13" s="107">
        <v>0.03</v>
      </c>
      <c r="E13" s="141" t="s">
        <v>125</v>
      </c>
      <c r="F13" s="106">
        <v>0.03</v>
      </c>
      <c r="G13" s="106">
        <v>0.04</v>
      </c>
      <c r="H13" s="107">
        <v>0.748</v>
      </c>
      <c r="I13" s="141" t="s">
        <v>125</v>
      </c>
      <c r="J13" s="141" t="s">
        <v>125</v>
      </c>
      <c r="K13" s="107">
        <v>1.0999999999999999E-2</v>
      </c>
      <c r="L13" s="108">
        <v>7.0000000000000007E-2</v>
      </c>
      <c r="M13" s="109">
        <f t="shared" si="0"/>
        <v>0.13842857142857143</v>
      </c>
      <c r="N13" s="110">
        <v>0.06</v>
      </c>
      <c r="O13" s="107">
        <v>0.03</v>
      </c>
      <c r="P13" s="141" t="s">
        <v>125</v>
      </c>
      <c r="Q13" s="107">
        <v>0.03</v>
      </c>
      <c r="R13" s="107">
        <v>0.05</v>
      </c>
      <c r="S13" s="107">
        <v>0.86599999999999999</v>
      </c>
      <c r="T13" s="141" t="s">
        <v>125</v>
      </c>
      <c r="U13" s="141" t="s">
        <v>125</v>
      </c>
      <c r="V13" s="107">
        <v>8.0000000000000002E-3</v>
      </c>
      <c r="W13" s="108">
        <v>7.0000000000000007E-2</v>
      </c>
      <c r="X13" s="109">
        <f t="shared" si="2"/>
        <v>0.16</v>
      </c>
      <c r="Y13" s="111">
        <v>0.06</v>
      </c>
      <c r="Z13" s="107">
        <v>0.03</v>
      </c>
      <c r="AA13" s="141" t="s">
        <v>125</v>
      </c>
      <c r="AB13" s="107">
        <v>0.03</v>
      </c>
      <c r="AC13" s="107">
        <v>0.05</v>
      </c>
      <c r="AD13" s="107">
        <v>0.1</v>
      </c>
      <c r="AE13" s="141" t="s">
        <v>125</v>
      </c>
      <c r="AF13" s="107">
        <v>0.02</v>
      </c>
      <c r="AG13" s="107">
        <v>0.01</v>
      </c>
      <c r="AH13" s="112">
        <v>7.0000000000000007E-2</v>
      </c>
      <c r="AI13" s="113">
        <f t="shared" si="3"/>
        <v>0.05</v>
      </c>
      <c r="AJ13" s="115">
        <f t="shared" si="1"/>
        <v>0.12</v>
      </c>
      <c r="AL13" s="17"/>
    </row>
    <row r="14" spans="1:38" ht="28" x14ac:dyDescent="0.25">
      <c r="A14" s="11">
        <v>10</v>
      </c>
      <c r="B14" s="69" t="s">
        <v>43</v>
      </c>
      <c r="C14" s="107">
        <v>0.01</v>
      </c>
      <c r="D14" s="107">
        <v>0.02</v>
      </c>
      <c r="E14" s="107">
        <v>0.01</v>
      </c>
      <c r="F14" s="106">
        <v>0.1</v>
      </c>
      <c r="G14" s="106">
        <v>0.01</v>
      </c>
      <c r="H14" s="141" t="s">
        <v>125</v>
      </c>
      <c r="I14" s="107">
        <v>0.03</v>
      </c>
      <c r="J14" s="141" t="s">
        <v>125</v>
      </c>
      <c r="K14" s="107">
        <v>3.2000000000000001E-2</v>
      </c>
      <c r="L14" s="108">
        <v>0.12</v>
      </c>
      <c r="M14" s="109">
        <f t="shared" si="0"/>
        <v>4.1500000000000002E-2</v>
      </c>
      <c r="N14" s="110">
        <v>0.01</v>
      </c>
      <c r="O14" s="107">
        <v>0.03</v>
      </c>
      <c r="P14" s="107">
        <v>0.01</v>
      </c>
      <c r="Q14" s="107">
        <v>0.1</v>
      </c>
      <c r="R14" s="107">
        <v>0.01</v>
      </c>
      <c r="S14" s="141" t="s">
        <v>125</v>
      </c>
      <c r="T14" s="107">
        <v>0.03</v>
      </c>
      <c r="U14" s="141" t="s">
        <v>125</v>
      </c>
      <c r="V14" s="107">
        <v>0.03</v>
      </c>
      <c r="W14" s="108">
        <v>0.12</v>
      </c>
      <c r="X14" s="109">
        <f t="shared" si="2"/>
        <v>0.04</v>
      </c>
      <c r="Y14" s="111">
        <v>0.01</v>
      </c>
      <c r="Z14" s="107">
        <v>0.03</v>
      </c>
      <c r="AA14" s="107">
        <v>0.01</v>
      </c>
      <c r="AB14" s="107">
        <v>0.1</v>
      </c>
      <c r="AC14" s="107">
        <v>0.01</v>
      </c>
      <c r="AD14" s="141" t="s">
        <v>125</v>
      </c>
      <c r="AE14" s="141" t="s">
        <v>125</v>
      </c>
      <c r="AF14" s="107">
        <v>0.01</v>
      </c>
      <c r="AG14" s="107">
        <v>0.03</v>
      </c>
      <c r="AH14" s="112">
        <v>0</v>
      </c>
      <c r="AI14" s="113">
        <f t="shared" si="3"/>
        <v>0.03</v>
      </c>
      <c r="AJ14" s="115">
        <f t="shared" si="1"/>
        <v>0.04</v>
      </c>
      <c r="AL14" s="17"/>
    </row>
    <row r="15" spans="1:38" ht="56" x14ac:dyDescent="0.25">
      <c r="A15" s="11">
        <v>11</v>
      </c>
      <c r="B15" s="69" t="s">
        <v>44</v>
      </c>
      <c r="C15" s="107">
        <v>0.02</v>
      </c>
      <c r="D15" s="107">
        <v>0.04</v>
      </c>
      <c r="E15" s="107">
        <v>0.08</v>
      </c>
      <c r="F15" s="106">
        <v>0.01</v>
      </c>
      <c r="G15" s="106">
        <v>0.1</v>
      </c>
      <c r="H15" s="107">
        <v>6.0000000000000001E-3</v>
      </c>
      <c r="I15" s="141" t="s">
        <v>125</v>
      </c>
      <c r="J15" s="107">
        <v>2.1399999999999999E-2</v>
      </c>
      <c r="K15" s="107">
        <v>2.4E-2</v>
      </c>
      <c r="L15" s="108">
        <v>0.1</v>
      </c>
      <c r="M15" s="109">
        <f t="shared" si="0"/>
        <v>4.4600000000000001E-2</v>
      </c>
      <c r="N15" s="110">
        <v>0.01</v>
      </c>
      <c r="O15" s="107">
        <v>0.05</v>
      </c>
      <c r="P15" s="107">
        <v>0.02</v>
      </c>
      <c r="Q15" s="107">
        <v>0.01</v>
      </c>
      <c r="R15" s="107">
        <v>0.02</v>
      </c>
      <c r="S15" s="107">
        <v>5.0000000000000001E-3</v>
      </c>
      <c r="T15" s="141" t="s">
        <v>125</v>
      </c>
      <c r="U15" s="107">
        <v>1.9E-2</v>
      </c>
      <c r="V15" s="107">
        <v>1.6E-2</v>
      </c>
      <c r="W15" s="108">
        <v>0.1</v>
      </c>
      <c r="X15" s="109">
        <f t="shared" si="2"/>
        <v>0.03</v>
      </c>
      <c r="Y15" s="111">
        <v>0.01</v>
      </c>
      <c r="Z15" s="107">
        <v>0.05</v>
      </c>
      <c r="AA15" s="107">
        <v>0.02</v>
      </c>
      <c r="AB15" s="107">
        <v>0.01</v>
      </c>
      <c r="AC15" s="107">
        <v>0.02</v>
      </c>
      <c r="AD15" s="107">
        <v>0</v>
      </c>
      <c r="AE15" s="141" t="s">
        <v>125</v>
      </c>
      <c r="AF15" s="107">
        <v>0.03</v>
      </c>
      <c r="AG15" s="107">
        <v>0.02</v>
      </c>
      <c r="AH15" s="112">
        <v>0.1</v>
      </c>
      <c r="AI15" s="113">
        <f t="shared" si="3"/>
        <v>0.03</v>
      </c>
      <c r="AJ15" s="115">
        <f t="shared" si="1"/>
        <v>0.03</v>
      </c>
      <c r="AL15" s="17"/>
    </row>
    <row r="16" spans="1:38" ht="28.5" thickBot="1" x14ac:dyDescent="0.3">
      <c r="A16" s="119">
        <v>12</v>
      </c>
      <c r="B16" s="120" t="s">
        <v>45</v>
      </c>
      <c r="C16" s="143" t="s">
        <v>125</v>
      </c>
      <c r="D16" s="143" t="s">
        <v>125</v>
      </c>
      <c r="E16" s="143" t="s">
        <v>125</v>
      </c>
      <c r="F16" s="143" t="s">
        <v>125</v>
      </c>
      <c r="G16" s="143" t="s">
        <v>125</v>
      </c>
      <c r="H16" s="121">
        <v>1E-3</v>
      </c>
      <c r="I16" s="121">
        <v>0.19</v>
      </c>
      <c r="J16" s="121">
        <v>1.8499999999999999E-2</v>
      </c>
      <c r="K16" s="121">
        <v>0.05</v>
      </c>
      <c r="L16" s="122">
        <v>0.01</v>
      </c>
      <c r="M16" s="123">
        <f t="shared" si="0"/>
        <v>5.3900000000000003E-2</v>
      </c>
      <c r="N16" s="148" t="s">
        <v>125</v>
      </c>
      <c r="O16" s="143" t="s">
        <v>125</v>
      </c>
      <c r="P16" s="143" t="s">
        <v>125</v>
      </c>
      <c r="Q16" s="143" t="s">
        <v>125</v>
      </c>
      <c r="R16" s="143" t="s">
        <v>125</v>
      </c>
      <c r="S16" s="121">
        <v>8.9999999999999993E-3</v>
      </c>
      <c r="T16" s="121">
        <v>0.19</v>
      </c>
      <c r="U16" s="121">
        <v>1.5E-3</v>
      </c>
      <c r="V16" s="121">
        <v>3.1E-2</v>
      </c>
      <c r="W16" s="122">
        <v>0.01</v>
      </c>
      <c r="X16" s="109">
        <f t="shared" si="2"/>
        <v>0.05</v>
      </c>
      <c r="Y16" s="147" t="s">
        <v>125</v>
      </c>
      <c r="Z16" s="143" t="s">
        <v>125</v>
      </c>
      <c r="AA16" s="143" t="s">
        <v>125</v>
      </c>
      <c r="AB16" s="143" t="s">
        <v>125</v>
      </c>
      <c r="AC16" s="143" t="s">
        <v>125</v>
      </c>
      <c r="AD16" s="121">
        <v>0</v>
      </c>
      <c r="AE16" s="143" t="s">
        <v>125</v>
      </c>
      <c r="AF16" s="121">
        <v>0</v>
      </c>
      <c r="AG16" s="121">
        <v>0.03</v>
      </c>
      <c r="AH16" s="124">
        <v>0.01</v>
      </c>
      <c r="AI16" s="113">
        <f t="shared" si="3"/>
        <v>0.01</v>
      </c>
      <c r="AJ16" s="115">
        <f t="shared" si="1"/>
        <v>0.04</v>
      </c>
      <c r="AL16" s="17"/>
    </row>
    <row r="17" spans="1:38" ht="14.5" thickBot="1" x14ac:dyDescent="0.3">
      <c r="A17" s="125">
        <v>13</v>
      </c>
      <c r="B17" s="126" t="s">
        <v>100</v>
      </c>
      <c r="C17" s="127">
        <f>SUM(C5:C16)</f>
        <v>3.2999999999999994</v>
      </c>
      <c r="D17" s="127">
        <f t="shared" ref="D17:X17" si="4">SUM(D5:D16)</f>
        <v>3.2999999999999994</v>
      </c>
      <c r="E17" s="127">
        <f t="shared" si="4"/>
        <v>3.3</v>
      </c>
      <c r="F17" s="127">
        <f t="shared" si="4"/>
        <v>3.2999999999999994</v>
      </c>
      <c r="G17" s="127">
        <f t="shared" si="4"/>
        <v>3.2999999999999994</v>
      </c>
      <c r="H17" s="127">
        <f t="shared" si="4"/>
        <v>3.0092999999999996</v>
      </c>
      <c r="I17" s="127">
        <f t="shared" si="4"/>
        <v>3.7499999999999996</v>
      </c>
      <c r="J17" s="127">
        <f t="shared" si="4"/>
        <v>2.5254999999999996</v>
      </c>
      <c r="K17" s="127">
        <f t="shared" si="4"/>
        <v>3.7890000000000001</v>
      </c>
      <c r="L17" s="128">
        <f t="shared" si="4"/>
        <v>2.5499999999999994</v>
      </c>
      <c r="M17" s="129">
        <f t="shared" si="4"/>
        <v>3.3384421825396822</v>
      </c>
      <c r="N17" s="130">
        <f t="shared" si="4"/>
        <v>3.6999999999999993</v>
      </c>
      <c r="O17" s="131">
        <f t="shared" si="4"/>
        <v>3.6999999999999984</v>
      </c>
      <c r="P17" s="131">
        <f t="shared" si="4"/>
        <v>3.6999999999999993</v>
      </c>
      <c r="Q17" s="131">
        <f t="shared" si="4"/>
        <v>3.6999999999999993</v>
      </c>
      <c r="R17" s="131">
        <f t="shared" si="4"/>
        <v>3.6999999999999984</v>
      </c>
      <c r="S17" s="131">
        <f t="shared" si="4"/>
        <v>3.3064999999999998</v>
      </c>
      <c r="T17" s="131">
        <f t="shared" si="4"/>
        <v>3.9199999999999995</v>
      </c>
      <c r="U17" s="131">
        <f t="shared" si="4"/>
        <v>2.3288999999999995</v>
      </c>
      <c r="V17" s="131">
        <f>SUM(V5:V16)</f>
        <v>3.8419999999999996</v>
      </c>
      <c r="W17" s="132">
        <f t="shared" si="4"/>
        <v>2.5499999999999994</v>
      </c>
      <c r="X17" s="129">
        <f t="shared" si="4"/>
        <v>3.5899999999999994</v>
      </c>
      <c r="Y17" s="133">
        <f>SUM(Y5:Y16)</f>
        <v>3.6999999999999993</v>
      </c>
      <c r="Z17" s="131">
        <f>SUM(Z5:Z16)</f>
        <v>3.6999999999999984</v>
      </c>
      <c r="AA17" s="131">
        <f t="shared" ref="AA17:AH17" si="5">SUM(AA5:AA16)</f>
        <v>3.6999999999999993</v>
      </c>
      <c r="AB17" s="131">
        <f t="shared" si="5"/>
        <v>3.6999999999999993</v>
      </c>
      <c r="AC17" s="131">
        <f t="shared" si="5"/>
        <v>3.6999999999999984</v>
      </c>
      <c r="AD17" s="131">
        <f t="shared" si="5"/>
        <v>2.6936999999999998</v>
      </c>
      <c r="AE17" s="131">
        <f t="shared" si="5"/>
        <v>5.0999999999999996</v>
      </c>
      <c r="AF17" s="131">
        <f t="shared" si="5"/>
        <v>2.9799999999999991</v>
      </c>
      <c r="AG17" s="131">
        <f t="shared" si="5"/>
        <v>4.1499999999999995</v>
      </c>
      <c r="AH17" s="131">
        <f t="shared" si="5"/>
        <v>2.6199999999999988</v>
      </c>
      <c r="AI17" s="134">
        <f>SUM(AI5:AI16)</f>
        <v>3.7199999999999993</v>
      </c>
      <c r="AJ17" s="135">
        <f>SUM(AJ5:AJ16)</f>
        <v>3.5499999999999994</v>
      </c>
      <c r="AL17" s="15"/>
    </row>
    <row r="19" spans="1:38" x14ac:dyDescent="0.25">
      <c r="A19" s="211" t="s">
        <v>177</v>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row>
    <row r="20" spans="1:38" ht="73" customHeight="1" x14ac:dyDescent="0.25">
      <c r="A20" s="204" t="s">
        <v>129</v>
      </c>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row>
    <row r="21" spans="1:38" x14ac:dyDescent="0.25">
      <c r="A21" s="64"/>
      <c r="B21" s="64"/>
      <c r="C21" s="65"/>
      <c r="D21" s="65"/>
      <c r="E21" s="65"/>
      <c r="F21" s="65"/>
      <c r="G21" s="65"/>
      <c r="H21" s="65"/>
      <c r="I21" s="65"/>
      <c r="J21" s="65"/>
      <c r="K21" s="65"/>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row>
    <row r="22" spans="1:38" x14ac:dyDescent="0.25">
      <c r="C22" s="18"/>
      <c r="D22" s="18"/>
      <c r="E22" s="18"/>
      <c r="F22" s="18"/>
      <c r="G22" s="18"/>
      <c r="H22" s="18"/>
      <c r="I22" s="18"/>
      <c r="J22" s="18"/>
      <c r="K22" s="18"/>
    </row>
    <row r="23" spans="1:38" x14ac:dyDescent="0.25">
      <c r="C23" s="18"/>
      <c r="D23" s="18"/>
      <c r="E23" s="18"/>
      <c r="F23" s="18"/>
      <c r="G23" s="18"/>
      <c r="H23" s="18"/>
      <c r="I23" s="18"/>
      <c r="J23" s="18"/>
      <c r="K23" s="18"/>
    </row>
  </sheetData>
  <customSheetViews>
    <customSheetView guid="{CC63F85D-63B9-4AE4-A28C-227DAE744DBC}" fitToPage="1">
      <selection sqref="A1:AJ1"/>
      <pageMargins left="0.70866141732283472" right="0.70866141732283472" top="0.74803149606299213" bottom="0.74803149606299213" header="0.31496062992125984" footer="0.31496062992125984"/>
      <pageSetup paperSize="9" scale="51" fitToHeight="0" orientation="landscape" r:id="rId1"/>
    </customSheetView>
    <customSheetView guid="{BE8ADE53-8BEB-4C68-A52B-650D06D579FF}" topLeftCell="A7">
      <selection activeCell="AE13" sqref="AE13"/>
      <pageMargins left="0.70866141732283472" right="0.70866141732283472" top="0.74803149606299213" bottom="0.74803149606299213" header="0.31496062992125984" footer="0.31496062992125984"/>
      <pageSetup paperSize="9" orientation="landscape" r:id="rId2"/>
    </customSheetView>
    <customSheetView guid="{DD9369C5-0AB7-4492-8028-68BB156F28A4}">
      <selection activeCell="AE12" sqref="AE12"/>
      <pageMargins left="0.70866141732283472" right="0.70866141732283472" top="0.74803149606299213" bottom="0.74803149606299213" header="0.31496062992125984" footer="0.31496062992125984"/>
      <pageSetup paperSize="9" orientation="landscape" r:id="rId3"/>
    </customSheetView>
  </customSheetViews>
  <mergeCells count="10">
    <mergeCell ref="A1:AJ1"/>
    <mergeCell ref="B3:B4"/>
    <mergeCell ref="A3:A4"/>
    <mergeCell ref="A20:AJ20"/>
    <mergeCell ref="A19:AJ19"/>
    <mergeCell ref="C3:M3"/>
    <mergeCell ref="N3:X3"/>
    <mergeCell ref="AJ3:AJ4"/>
    <mergeCell ref="A2:AJ2"/>
    <mergeCell ref="Y3:AI3"/>
  </mergeCells>
  <pageMargins left="0.70866141732283472" right="0.70866141732283472" top="0.74803149606299213" bottom="0.74803149606299213" header="0.31496062992125984" footer="0.31496062992125984"/>
  <pageSetup paperSize="9" scale="4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selection sqref="A1:G1"/>
    </sheetView>
  </sheetViews>
  <sheetFormatPr defaultColWidth="9.1796875" defaultRowHeight="14" x14ac:dyDescent="0.3"/>
  <cols>
    <col min="1" max="1" width="32.7265625" style="9" customWidth="1"/>
    <col min="2" max="2" width="18.7265625" style="9" customWidth="1"/>
    <col min="3" max="3" width="10.7265625" style="9" customWidth="1"/>
    <col min="4" max="4" width="19" style="9" customWidth="1"/>
    <col min="5" max="5" width="22" style="9" customWidth="1"/>
    <col min="6" max="6" width="9.81640625" style="9" customWidth="1"/>
    <col min="7" max="7" width="22.7265625" style="9" customWidth="1"/>
    <col min="8" max="8" width="9.1796875" style="9" customWidth="1"/>
    <col min="9" max="16384" width="9.1796875" style="9"/>
  </cols>
  <sheetData>
    <row r="1" spans="1:7" x14ac:dyDescent="0.3">
      <c r="A1" s="162" t="s">
        <v>66</v>
      </c>
      <c r="B1" s="162"/>
      <c r="C1" s="162"/>
      <c r="D1" s="162"/>
      <c r="E1" s="162"/>
      <c r="F1" s="162"/>
      <c r="G1" s="162"/>
    </row>
    <row r="2" spans="1:7" ht="17.149999999999999" customHeight="1" x14ac:dyDescent="0.3">
      <c r="A2" s="221" t="s">
        <v>88</v>
      </c>
      <c r="B2" s="221"/>
      <c r="C2" s="221"/>
      <c r="D2" s="221"/>
      <c r="E2" s="221"/>
      <c r="F2" s="221"/>
      <c r="G2" s="221"/>
    </row>
    <row r="3" spans="1:7" ht="42" x14ac:dyDescent="0.3">
      <c r="A3" s="49" t="s">
        <v>82</v>
      </c>
      <c r="B3" s="49" t="s">
        <v>134</v>
      </c>
      <c r="C3" s="49" t="s">
        <v>136</v>
      </c>
      <c r="D3" s="49" t="s">
        <v>85</v>
      </c>
      <c r="E3" s="49" t="s">
        <v>86</v>
      </c>
      <c r="F3" s="49" t="s">
        <v>97</v>
      </c>
      <c r="G3" s="49" t="s">
        <v>138</v>
      </c>
    </row>
    <row r="4" spans="1:7" ht="12.75" customHeight="1" x14ac:dyDescent="0.3">
      <c r="A4" s="136">
        <v>1</v>
      </c>
      <c r="B4" s="136">
        <v>2</v>
      </c>
      <c r="C4" s="137">
        <v>3</v>
      </c>
      <c r="D4" s="136" t="s">
        <v>81</v>
      </c>
      <c r="E4" s="138" t="s">
        <v>89</v>
      </c>
      <c r="F4" s="138">
        <v>6</v>
      </c>
      <c r="G4" s="136" t="s">
        <v>98</v>
      </c>
    </row>
    <row r="5" spans="1:7" x14ac:dyDescent="0.3">
      <c r="A5" s="85" t="s">
        <v>140</v>
      </c>
      <c r="B5" s="11">
        <v>176.75</v>
      </c>
      <c r="C5" s="229">
        <v>1720</v>
      </c>
      <c r="D5" s="107">
        <f>B5/C5</f>
        <v>0.10276162790697674</v>
      </c>
      <c r="E5" s="225">
        <f>ROUND(AVERAGE(D5:D6),2)</f>
        <v>0.1</v>
      </c>
      <c r="F5" s="227">
        <v>0</v>
      </c>
      <c r="G5" s="223">
        <f>ROUND(E5*F5+E7*F7,2)</f>
        <v>0.08</v>
      </c>
    </row>
    <row r="6" spans="1:7" x14ac:dyDescent="0.3">
      <c r="A6" s="85" t="s">
        <v>83</v>
      </c>
      <c r="B6" s="11">
        <v>176.75</v>
      </c>
      <c r="C6" s="229"/>
      <c r="D6" s="107">
        <f>B6/C5</f>
        <v>0.10276162790697674</v>
      </c>
      <c r="E6" s="226"/>
      <c r="F6" s="228"/>
      <c r="G6" s="223"/>
    </row>
    <row r="7" spans="1:7" x14ac:dyDescent="0.3">
      <c r="A7" s="85" t="s">
        <v>84</v>
      </c>
      <c r="B7" s="11">
        <v>75.75</v>
      </c>
      <c r="C7" s="229"/>
      <c r="D7" s="107">
        <f>ROUND(B7/C5,2)</f>
        <v>0.04</v>
      </c>
      <c r="E7" s="107">
        <f>D7</f>
        <v>0.04</v>
      </c>
      <c r="F7" s="139">
        <v>2</v>
      </c>
      <c r="G7" s="223"/>
    </row>
    <row r="9" spans="1:7" ht="30" customHeight="1" x14ac:dyDescent="0.3">
      <c r="A9" s="222" t="s">
        <v>135</v>
      </c>
      <c r="B9" s="222"/>
      <c r="C9" s="222"/>
      <c r="D9" s="222"/>
      <c r="E9" s="222"/>
      <c r="F9" s="222"/>
      <c r="G9" s="222"/>
    </row>
    <row r="10" spans="1:7" ht="60" customHeight="1" x14ac:dyDescent="0.3">
      <c r="A10" s="222" t="s">
        <v>137</v>
      </c>
      <c r="B10" s="222"/>
      <c r="C10" s="222"/>
      <c r="D10" s="222"/>
      <c r="E10" s="222"/>
      <c r="F10" s="222"/>
      <c r="G10" s="222"/>
    </row>
    <row r="11" spans="1:7" ht="30" customHeight="1" x14ac:dyDescent="0.3">
      <c r="A11" s="222" t="s">
        <v>139</v>
      </c>
      <c r="B11" s="222"/>
      <c r="C11" s="222"/>
      <c r="D11" s="222"/>
      <c r="E11" s="222"/>
      <c r="F11" s="222"/>
      <c r="G11" s="222"/>
    </row>
    <row r="12" spans="1:7" x14ac:dyDescent="0.3">
      <c r="A12" s="224" t="s">
        <v>141</v>
      </c>
      <c r="B12" s="224"/>
      <c r="C12" s="224"/>
      <c r="D12" s="224"/>
      <c r="E12" s="224"/>
      <c r="F12" s="224"/>
      <c r="G12" s="224"/>
    </row>
    <row r="15" spans="1:7" x14ac:dyDescent="0.3">
      <c r="E15" s="19"/>
      <c r="F15" s="19"/>
    </row>
  </sheetData>
  <customSheetViews>
    <customSheetView guid="{CC63F85D-63B9-4AE4-A28C-227DAE744DBC}" fitToPage="1">
      <selection sqref="A1:G1"/>
      <pageMargins left="0.7" right="0.7" top="0.75" bottom="0.75" header="0.3" footer="0.3"/>
      <pageSetup paperSize="9" orientation="landscape" r:id="rId1"/>
    </customSheetView>
  </customSheetViews>
  <mergeCells count="10">
    <mergeCell ref="A12:G12"/>
    <mergeCell ref="E5:E6"/>
    <mergeCell ref="F5:F6"/>
    <mergeCell ref="A11:G11"/>
    <mergeCell ref="C5:C7"/>
    <mergeCell ref="A1:G1"/>
    <mergeCell ref="A2:G2"/>
    <mergeCell ref="A9:G9"/>
    <mergeCell ref="A10:G10"/>
    <mergeCell ref="G5:G7"/>
  </mergeCells>
  <pageMargins left="0.7" right="0.7" top="0.75" bottom="0.75" header="0.3" footer="0.3"/>
  <pageSetup paperSize="9" scale="97"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zoomScaleNormal="90" workbookViewId="0">
      <selection sqref="A1:B1"/>
    </sheetView>
  </sheetViews>
  <sheetFormatPr defaultColWidth="9.1796875" defaultRowHeight="14" x14ac:dyDescent="0.3"/>
  <cols>
    <col min="1" max="1" width="12.7265625" style="2" customWidth="1"/>
    <col min="2" max="2" width="82.81640625" style="2" customWidth="1"/>
    <col min="3" max="16384" width="9.1796875" style="2"/>
  </cols>
  <sheetData>
    <row r="1" spans="1:2" ht="15" customHeight="1" x14ac:dyDescent="0.3">
      <c r="A1" s="231" t="s">
        <v>68</v>
      </c>
      <c r="B1" s="231"/>
    </row>
    <row r="2" spans="1:2" ht="34" customHeight="1" x14ac:dyDescent="0.3">
      <c r="A2" s="230" t="s">
        <v>48</v>
      </c>
      <c r="B2" s="230"/>
    </row>
    <row r="3" spans="1:2" ht="15" customHeight="1" x14ac:dyDescent="0.3">
      <c r="A3" s="136" t="s">
        <v>46</v>
      </c>
      <c r="B3" s="136" t="s">
        <v>47</v>
      </c>
    </row>
    <row r="4" spans="1:2" ht="196" x14ac:dyDescent="0.3">
      <c r="A4" s="10" t="s">
        <v>22</v>
      </c>
      <c r="B4" s="140" t="s">
        <v>142</v>
      </c>
    </row>
    <row r="13" spans="1:2" x14ac:dyDescent="0.3">
      <c r="B13" s="5"/>
    </row>
  </sheetData>
  <customSheetViews>
    <customSheetView guid="{CC63F85D-63B9-4AE4-A28C-227DAE744DBC}">
      <selection sqref="A1:B1"/>
      <pageMargins left="0.70866141732283472" right="0.70866141732283472" top="0.74803149606299213" bottom="0.74803149606299213" header="0.31496062992125984" footer="0.31496062992125984"/>
      <pageSetup paperSize="9" orientation="landscape" r:id="rId1"/>
    </customSheetView>
    <customSheetView guid="{BE8ADE53-8BEB-4C68-A52B-650D06D579FF}">
      <selection activeCell="B1" sqref="B1"/>
      <pageMargins left="0.70866141732283472" right="0.70866141732283472" top="0.74803149606299213" bottom="0.74803149606299213" header="0.31496062992125984" footer="0.31496062992125984"/>
      <pageSetup paperSize="9" orientation="landscape" r:id="rId2"/>
    </customSheetView>
    <customSheetView guid="{DD9369C5-0AB7-4492-8028-68BB156F28A4}">
      <selection activeCell="H7" sqref="H7"/>
      <pageMargins left="0.70866141732283472" right="0.70866141732283472" top="0.74803149606299213" bottom="0.74803149606299213" header="0.31496062992125984" footer="0.31496062992125984"/>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9"/>
  <sheetViews>
    <sheetView zoomScale="63" zoomScaleNormal="63" workbookViewId="0">
      <selection activeCell="E27" sqref="E27:E33"/>
    </sheetView>
  </sheetViews>
  <sheetFormatPr defaultColWidth="9.1796875" defaultRowHeight="14" x14ac:dyDescent="0.3"/>
  <cols>
    <col min="1" max="1" width="4.54296875" style="25" customWidth="1"/>
    <col min="2" max="2" width="51.26953125" style="25" customWidth="1"/>
    <col min="3" max="3" width="10" style="25" customWidth="1"/>
    <col min="4" max="5" width="11.7265625" style="25" customWidth="1"/>
    <col min="6" max="6" width="10" style="25" customWidth="1"/>
    <col min="7" max="7" width="11.54296875" style="25" customWidth="1"/>
    <col min="8" max="8" width="27.7265625" style="25" customWidth="1"/>
    <col min="9" max="9" width="84.1796875" style="25" customWidth="1"/>
    <col min="10" max="10" width="41.81640625" style="25" customWidth="1"/>
    <col min="11" max="11" width="10.453125" style="25" bestFit="1" customWidth="1"/>
    <col min="12" max="12" width="9.1796875" style="25"/>
    <col min="13" max="13" width="9.54296875" style="25" bestFit="1" customWidth="1"/>
    <col min="14" max="16384" width="9.1796875" style="25"/>
  </cols>
  <sheetData>
    <row r="1" spans="1:12" x14ac:dyDescent="0.3">
      <c r="A1" s="188" t="s">
        <v>87</v>
      </c>
      <c r="B1" s="188"/>
      <c r="C1" s="188"/>
      <c r="D1" s="188"/>
      <c r="E1" s="188"/>
      <c r="F1" s="188"/>
      <c r="G1" s="188"/>
      <c r="H1" s="188"/>
      <c r="I1" s="188"/>
      <c r="J1" s="188"/>
    </row>
    <row r="2" spans="1:12" x14ac:dyDescent="0.3">
      <c r="A2" s="161" t="s">
        <v>144</v>
      </c>
      <c r="B2" s="161"/>
      <c r="C2" s="161"/>
      <c r="D2" s="161"/>
      <c r="E2" s="161"/>
      <c r="F2" s="161"/>
      <c r="G2" s="161"/>
      <c r="H2" s="161"/>
      <c r="I2" s="161"/>
      <c r="J2" s="161"/>
    </row>
    <row r="3" spans="1:12" ht="28" x14ac:dyDescent="0.3">
      <c r="A3" s="252" t="s">
        <v>78</v>
      </c>
      <c r="B3" s="251"/>
      <c r="C3" s="255" t="s">
        <v>116</v>
      </c>
      <c r="D3" s="252" t="s">
        <v>15</v>
      </c>
      <c r="E3" s="252" t="s">
        <v>58</v>
      </c>
      <c r="F3" s="66" t="s">
        <v>11</v>
      </c>
      <c r="G3" s="66" t="s">
        <v>12</v>
      </c>
      <c r="H3" s="273"/>
      <c r="I3" s="253" t="s">
        <v>50</v>
      </c>
      <c r="J3" s="251" t="s">
        <v>56</v>
      </c>
    </row>
    <row r="4" spans="1:12" ht="56" x14ac:dyDescent="0.3">
      <c r="A4" s="252"/>
      <c r="B4" s="251"/>
      <c r="C4" s="252"/>
      <c r="D4" s="252"/>
      <c r="E4" s="252"/>
      <c r="F4" s="63" t="s">
        <v>160</v>
      </c>
      <c r="G4" s="63" t="s">
        <v>161</v>
      </c>
      <c r="H4" s="274"/>
      <c r="I4" s="251"/>
      <c r="J4" s="251"/>
    </row>
    <row r="5" spans="1:12" x14ac:dyDescent="0.3">
      <c r="A5" s="266" t="s">
        <v>14</v>
      </c>
      <c r="B5" s="266"/>
      <c r="C5" s="26"/>
      <c r="D5" s="26"/>
      <c r="E5" s="27"/>
      <c r="F5" s="28"/>
      <c r="G5" s="28"/>
      <c r="H5" s="28"/>
      <c r="I5" s="13" t="s">
        <v>49</v>
      </c>
      <c r="J5" s="29"/>
    </row>
    <row r="6" spans="1:12" ht="42" x14ac:dyDescent="0.3">
      <c r="A6" s="30">
        <v>1</v>
      </c>
      <c r="B6" s="1" t="s">
        <v>13</v>
      </c>
      <c r="C6" s="32">
        <v>171.37</v>
      </c>
      <c r="D6" s="32" t="s">
        <v>16</v>
      </c>
      <c r="E6" s="32">
        <f>C6/36</f>
        <v>4.7602777777777776</v>
      </c>
      <c r="F6" s="33">
        <f>C6/36</f>
        <v>4.7602777777777776</v>
      </c>
      <c r="G6" s="30">
        <v>0</v>
      </c>
      <c r="H6" s="30"/>
      <c r="I6" s="71" t="s">
        <v>110</v>
      </c>
      <c r="J6" s="35"/>
      <c r="K6" s="36"/>
      <c r="L6" s="36"/>
    </row>
    <row r="7" spans="1:12" ht="28" x14ac:dyDescent="0.3">
      <c r="A7" s="30">
        <v>2</v>
      </c>
      <c r="B7" s="31" t="s">
        <v>79</v>
      </c>
      <c r="C7" s="37">
        <v>287.77</v>
      </c>
      <c r="D7" s="32" t="s">
        <v>16</v>
      </c>
      <c r="E7" s="32">
        <f>C7/36</f>
        <v>7.993611111111111</v>
      </c>
      <c r="F7" s="30">
        <v>0</v>
      </c>
      <c r="G7" s="33">
        <f>C7/36</f>
        <v>7.993611111111111</v>
      </c>
      <c r="H7" s="33"/>
      <c r="I7" s="71" t="s">
        <v>118</v>
      </c>
      <c r="J7" s="35"/>
      <c r="L7" s="4"/>
    </row>
    <row r="8" spans="1:12" ht="28" x14ac:dyDescent="0.3">
      <c r="A8" s="30">
        <v>3</v>
      </c>
      <c r="B8" s="31" t="s">
        <v>70</v>
      </c>
      <c r="C8" s="32">
        <v>2.5</v>
      </c>
      <c r="D8" s="37" t="s">
        <v>17</v>
      </c>
      <c r="E8" s="32">
        <f>C8/1</f>
        <v>2.5</v>
      </c>
      <c r="F8" s="33">
        <v>0</v>
      </c>
      <c r="G8" s="33">
        <f>E8</f>
        <v>2.5</v>
      </c>
      <c r="H8" s="33"/>
      <c r="I8" s="71" t="s">
        <v>117</v>
      </c>
      <c r="J8" s="35"/>
    </row>
    <row r="9" spans="1:12" ht="26.25" customHeight="1" x14ac:dyDescent="0.3">
      <c r="A9" s="278" t="s">
        <v>55</v>
      </c>
      <c r="B9" s="279"/>
      <c r="C9" s="279"/>
      <c r="D9" s="279"/>
      <c r="E9" s="279"/>
      <c r="F9" s="279"/>
      <c r="G9" s="279"/>
      <c r="H9" s="279"/>
      <c r="I9" s="279"/>
      <c r="J9" s="280"/>
      <c r="K9" s="36"/>
    </row>
    <row r="10" spans="1:12" ht="28" x14ac:dyDescent="0.3">
      <c r="A10" s="30">
        <v>4</v>
      </c>
      <c r="B10" s="38" t="s">
        <v>71</v>
      </c>
      <c r="C10" s="39"/>
      <c r="D10" s="39"/>
      <c r="E10" s="39"/>
      <c r="F10" s="30"/>
      <c r="G10" s="30"/>
      <c r="H10" s="30"/>
      <c r="I10" s="40"/>
      <c r="J10" s="35"/>
    </row>
    <row r="11" spans="1:12" x14ac:dyDescent="0.3">
      <c r="A11" s="263">
        <v>5</v>
      </c>
      <c r="B11" s="248" t="s">
        <v>18</v>
      </c>
      <c r="C11" s="232"/>
      <c r="D11" s="248" t="s">
        <v>51</v>
      </c>
      <c r="E11" s="232"/>
      <c r="F11" s="256">
        <v>1573</v>
      </c>
      <c r="G11" s="257"/>
      <c r="H11" s="155" t="s">
        <v>146</v>
      </c>
      <c r="I11" s="260" t="s">
        <v>163</v>
      </c>
      <c r="J11" s="260" t="s">
        <v>77</v>
      </c>
    </row>
    <row r="12" spans="1:12" x14ac:dyDescent="0.3">
      <c r="A12" s="264"/>
      <c r="B12" s="233"/>
      <c r="C12" s="233"/>
      <c r="D12" s="233"/>
      <c r="E12" s="233"/>
      <c r="F12" s="256">
        <f>ROUND(F11*23.59%,2)</f>
        <v>371.07</v>
      </c>
      <c r="G12" s="257"/>
      <c r="H12" s="155" t="s">
        <v>149</v>
      </c>
      <c r="I12" s="261"/>
      <c r="J12" s="261"/>
    </row>
    <row r="13" spans="1:12" ht="14.5" customHeight="1" x14ac:dyDescent="0.3">
      <c r="A13" s="264"/>
      <c r="B13" s="233"/>
      <c r="C13" s="233"/>
      <c r="D13" s="233"/>
      <c r="E13" s="233"/>
      <c r="F13" s="256">
        <f>F11+F12</f>
        <v>1944.07</v>
      </c>
      <c r="G13" s="257"/>
      <c r="H13" s="155" t="s">
        <v>165</v>
      </c>
      <c r="I13" s="261"/>
      <c r="J13" s="261"/>
    </row>
    <row r="14" spans="1:12" ht="14.5" customHeight="1" x14ac:dyDescent="0.3">
      <c r="A14" s="265"/>
      <c r="B14" s="234"/>
      <c r="C14" s="234"/>
      <c r="D14" s="234"/>
      <c r="E14" s="234"/>
      <c r="F14" s="258">
        <f>ROUND(F13/1000,2)</f>
        <v>1.94</v>
      </c>
      <c r="G14" s="259"/>
      <c r="H14" s="155" t="s">
        <v>162</v>
      </c>
      <c r="I14" s="262"/>
      <c r="J14" s="262"/>
    </row>
    <row r="15" spans="1:12" ht="14" customHeight="1" x14ac:dyDescent="0.3">
      <c r="A15" s="238">
        <v>6</v>
      </c>
      <c r="B15" s="235" t="s">
        <v>164</v>
      </c>
      <c r="C15" s="235"/>
      <c r="D15" s="235" t="s">
        <v>51</v>
      </c>
      <c r="E15" s="235"/>
      <c r="F15" s="241">
        <v>880</v>
      </c>
      <c r="G15" s="242"/>
      <c r="H15" s="155" t="s">
        <v>146</v>
      </c>
      <c r="I15" s="184" t="s">
        <v>167</v>
      </c>
      <c r="J15" s="181" t="s">
        <v>111</v>
      </c>
      <c r="K15" s="36"/>
      <c r="L15" s="36"/>
    </row>
    <row r="16" spans="1:12" x14ac:dyDescent="0.3">
      <c r="A16" s="239"/>
      <c r="B16" s="236"/>
      <c r="C16" s="236"/>
      <c r="D16" s="236"/>
      <c r="E16" s="236"/>
      <c r="F16" s="241">
        <f>ROUND(F15*23.59%,2)</f>
        <v>207.59</v>
      </c>
      <c r="G16" s="242"/>
      <c r="H16" s="155" t="s">
        <v>149</v>
      </c>
      <c r="I16" s="185"/>
      <c r="J16" s="182"/>
      <c r="K16" s="36"/>
      <c r="L16" s="36"/>
    </row>
    <row r="17" spans="1:15" ht="14.5" customHeight="1" x14ac:dyDescent="0.3">
      <c r="A17" s="239"/>
      <c r="B17" s="236"/>
      <c r="C17" s="236"/>
      <c r="D17" s="236"/>
      <c r="E17" s="236"/>
      <c r="F17" s="241">
        <f>SUM(F15:G16)</f>
        <v>1087.5899999999999</v>
      </c>
      <c r="G17" s="242"/>
      <c r="H17" s="155" t="s">
        <v>165</v>
      </c>
      <c r="I17" s="185"/>
      <c r="J17" s="182"/>
      <c r="K17" s="36"/>
      <c r="L17" s="36"/>
    </row>
    <row r="18" spans="1:15" x14ac:dyDescent="0.3">
      <c r="A18" s="239"/>
      <c r="B18" s="236"/>
      <c r="C18" s="236"/>
      <c r="D18" s="236"/>
      <c r="E18" s="236"/>
      <c r="F18" s="241">
        <f>ROUND(F17*3,2)</f>
        <v>3262.77</v>
      </c>
      <c r="G18" s="242"/>
      <c r="H18" s="155" t="s">
        <v>166</v>
      </c>
      <c r="I18" s="185"/>
      <c r="J18" s="182"/>
      <c r="K18" s="36"/>
      <c r="L18" s="36"/>
    </row>
    <row r="19" spans="1:15" x14ac:dyDescent="0.3">
      <c r="A19" s="240"/>
      <c r="B19" s="237"/>
      <c r="C19" s="237"/>
      <c r="D19" s="237"/>
      <c r="E19" s="237"/>
      <c r="F19" s="243">
        <f>ROUND(F18/1000,2)</f>
        <v>3.26</v>
      </c>
      <c r="G19" s="244"/>
      <c r="H19" s="155" t="s">
        <v>162</v>
      </c>
      <c r="I19" s="186"/>
      <c r="J19" s="183"/>
      <c r="K19" s="36"/>
      <c r="L19" s="36"/>
    </row>
    <row r="20" spans="1:15" ht="84" x14ac:dyDescent="0.3">
      <c r="A20" s="30">
        <v>7</v>
      </c>
      <c r="B20" s="38" t="s">
        <v>19</v>
      </c>
      <c r="C20" s="44">
        <v>750</v>
      </c>
      <c r="D20" s="41" t="s">
        <v>51</v>
      </c>
      <c r="E20" s="44">
        <f>C20</f>
        <v>750</v>
      </c>
      <c r="F20" s="42">
        <f>E20/1000</f>
        <v>0.75</v>
      </c>
      <c r="G20" s="42">
        <f>E20/1000</f>
        <v>0.75</v>
      </c>
      <c r="H20" s="42"/>
      <c r="I20" s="43" t="s">
        <v>72</v>
      </c>
      <c r="J20" s="34"/>
      <c r="K20" s="36"/>
      <c r="M20" s="45"/>
    </row>
    <row r="21" spans="1:15" ht="42" x14ac:dyDescent="0.3">
      <c r="A21" s="30">
        <v>8</v>
      </c>
      <c r="B21" s="38" t="s">
        <v>73</v>
      </c>
      <c r="C21" s="46">
        <v>25000</v>
      </c>
      <c r="D21" s="41" t="s">
        <v>54</v>
      </c>
      <c r="E21" s="46">
        <f>C21/84</f>
        <v>297.61904761904759</v>
      </c>
      <c r="F21" s="42">
        <f>E21/1000</f>
        <v>0.29761904761904762</v>
      </c>
      <c r="G21" s="42">
        <f>E21/1000</f>
        <v>0.29761904761904762</v>
      </c>
      <c r="H21" s="42"/>
      <c r="I21" s="43" t="s">
        <v>119</v>
      </c>
      <c r="J21" s="47"/>
    </row>
    <row r="22" spans="1:15" ht="14" customHeight="1" x14ac:dyDescent="0.3">
      <c r="A22" s="281" t="s">
        <v>21</v>
      </c>
      <c r="B22" s="282"/>
      <c r="C22" s="282"/>
      <c r="D22" s="282"/>
      <c r="E22" s="282"/>
      <c r="F22" s="282"/>
      <c r="G22" s="282"/>
      <c r="H22" s="282"/>
      <c r="I22" s="282"/>
      <c r="J22" s="283"/>
    </row>
    <row r="23" spans="1:15" x14ac:dyDescent="0.3">
      <c r="A23" s="235">
        <v>9</v>
      </c>
      <c r="B23" s="235" t="s">
        <v>74</v>
      </c>
      <c r="C23" s="275"/>
      <c r="D23" s="235" t="s">
        <v>52</v>
      </c>
      <c r="E23" s="275"/>
      <c r="F23" s="241">
        <v>1005</v>
      </c>
      <c r="G23" s="242"/>
      <c r="H23" s="155" t="s">
        <v>146</v>
      </c>
      <c r="I23" s="184" t="s">
        <v>168</v>
      </c>
      <c r="J23" s="184" t="s">
        <v>120</v>
      </c>
    </row>
    <row r="24" spans="1:15" x14ac:dyDescent="0.3">
      <c r="A24" s="236"/>
      <c r="B24" s="236"/>
      <c r="C24" s="276"/>
      <c r="D24" s="236"/>
      <c r="E24" s="276"/>
      <c r="F24" s="241">
        <f>ROUND(F23*23.59%,2)</f>
        <v>237.08</v>
      </c>
      <c r="G24" s="242"/>
      <c r="H24" s="155" t="s">
        <v>149</v>
      </c>
      <c r="I24" s="185"/>
      <c r="J24" s="185"/>
    </row>
    <row r="25" spans="1:15" x14ac:dyDescent="0.3">
      <c r="A25" s="236"/>
      <c r="B25" s="236"/>
      <c r="C25" s="276"/>
      <c r="D25" s="236"/>
      <c r="E25" s="276"/>
      <c r="F25" s="241">
        <f>SUM(F23:G24)</f>
        <v>1242.08</v>
      </c>
      <c r="G25" s="242"/>
      <c r="H25" s="155" t="s">
        <v>165</v>
      </c>
      <c r="I25" s="185"/>
      <c r="J25" s="185"/>
    </row>
    <row r="26" spans="1:15" x14ac:dyDescent="0.3">
      <c r="A26" s="237"/>
      <c r="B26" s="237"/>
      <c r="C26" s="277"/>
      <c r="D26" s="237"/>
      <c r="E26" s="277"/>
      <c r="F26" s="243">
        <f>ROUND(F25/200,2)</f>
        <v>6.21</v>
      </c>
      <c r="G26" s="244"/>
      <c r="H26" s="155" t="s">
        <v>162</v>
      </c>
      <c r="I26" s="186"/>
      <c r="J26" s="186"/>
    </row>
    <row r="27" spans="1:15" x14ac:dyDescent="0.3">
      <c r="A27" s="238">
        <v>10</v>
      </c>
      <c r="B27" s="248" t="s">
        <v>172</v>
      </c>
      <c r="C27" s="235"/>
      <c r="D27" s="235" t="s">
        <v>52</v>
      </c>
      <c r="E27" s="235"/>
      <c r="F27" s="241">
        <v>880</v>
      </c>
      <c r="G27" s="242"/>
      <c r="H27" s="159" t="s">
        <v>146</v>
      </c>
      <c r="I27" s="184" t="s">
        <v>171</v>
      </c>
      <c r="J27" s="245" t="s">
        <v>121</v>
      </c>
      <c r="K27" s="36"/>
      <c r="L27" s="36"/>
      <c r="M27" s="50"/>
      <c r="N27" s="36"/>
      <c r="O27" s="36"/>
    </row>
    <row r="28" spans="1:15" x14ac:dyDescent="0.3">
      <c r="A28" s="239"/>
      <c r="B28" s="249"/>
      <c r="C28" s="236"/>
      <c r="D28" s="236"/>
      <c r="E28" s="236"/>
      <c r="F28" s="241">
        <f>ROUND(F27*25%,2)</f>
        <v>220</v>
      </c>
      <c r="G28" s="242"/>
      <c r="H28" s="160" t="s">
        <v>147</v>
      </c>
      <c r="I28" s="185"/>
      <c r="J28" s="246"/>
      <c r="K28" s="36"/>
      <c r="L28" s="36"/>
      <c r="M28" s="50"/>
      <c r="N28" s="36"/>
      <c r="O28" s="36"/>
    </row>
    <row r="29" spans="1:15" ht="14.5" customHeight="1" x14ac:dyDescent="0.3">
      <c r="A29" s="239"/>
      <c r="B29" s="249"/>
      <c r="C29" s="236"/>
      <c r="D29" s="236"/>
      <c r="E29" s="236"/>
      <c r="F29" s="241">
        <f>SUM(F27:G28)</f>
        <v>1100</v>
      </c>
      <c r="G29" s="242"/>
      <c r="H29" s="155" t="s">
        <v>148</v>
      </c>
      <c r="I29" s="185"/>
      <c r="J29" s="246"/>
      <c r="K29" s="36"/>
      <c r="L29" s="36"/>
      <c r="M29" s="50"/>
      <c r="N29" s="36"/>
      <c r="O29" s="36"/>
    </row>
    <row r="30" spans="1:15" x14ac:dyDescent="0.3">
      <c r="A30" s="239"/>
      <c r="B30" s="249"/>
      <c r="C30" s="236"/>
      <c r="D30" s="236"/>
      <c r="E30" s="236"/>
      <c r="F30" s="241">
        <f>ROUND(F29*23.59%,2)</f>
        <v>259.49</v>
      </c>
      <c r="G30" s="242"/>
      <c r="H30" s="160" t="s">
        <v>149</v>
      </c>
      <c r="I30" s="185"/>
      <c r="J30" s="246"/>
      <c r="K30" s="36"/>
      <c r="L30" s="36"/>
      <c r="M30" s="50"/>
      <c r="N30" s="36"/>
      <c r="O30" s="36"/>
    </row>
    <row r="31" spans="1:15" x14ac:dyDescent="0.3">
      <c r="A31" s="239"/>
      <c r="B31" s="249"/>
      <c r="C31" s="236"/>
      <c r="D31" s="236"/>
      <c r="E31" s="236"/>
      <c r="F31" s="241">
        <f>SUM(F29:G30)</f>
        <v>1359.49</v>
      </c>
      <c r="G31" s="242"/>
      <c r="H31" s="160" t="s">
        <v>165</v>
      </c>
      <c r="I31" s="185"/>
      <c r="J31" s="246"/>
      <c r="K31" s="36"/>
      <c r="L31" s="36"/>
      <c r="M31" s="50"/>
      <c r="N31" s="36"/>
      <c r="O31" s="36"/>
    </row>
    <row r="32" spans="1:15" x14ac:dyDescent="0.3">
      <c r="A32" s="239"/>
      <c r="B32" s="249"/>
      <c r="C32" s="236"/>
      <c r="D32" s="236"/>
      <c r="E32" s="236"/>
      <c r="F32" s="241">
        <f>ROUND(F31*5,2)</f>
        <v>6797.45</v>
      </c>
      <c r="G32" s="242"/>
      <c r="H32" s="160" t="s">
        <v>169</v>
      </c>
      <c r="I32" s="185"/>
      <c r="J32" s="246"/>
      <c r="K32" s="36"/>
      <c r="L32" s="36"/>
      <c r="M32" s="50"/>
      <c r="N32" s="36"/>
      <c r="O32" s="36"/>
    </row>
    <row r="33" spans="1:15" x14ac:dyDescent="0.3">
      <c r="A33" s="240"/>
      <c r="B33" s="250"/>
      <c r="C33" s="237"/>
      <c r="D33" s="237"/>
      <c r="E33" s="237"/>
      <c r="F33" s="243">
        <f>ROUND(F32/200,2)</f>
        <v>33.99</v>
      </c>
      <c r="G33" s="244"/>
      <c r="H33" s="160" t="s">
        <v>170</v>
      </c>
      <c r="I33" s="186"/>
      <c r="J33" s="247"/>
      <c r="K33" s="36"/>
      <c r="L33" s="36"/>
      <c r="M33" s="50"/>
      <c r="N33" s="36"/>
      <c r="O33" s="36"/>
    </row>
    <row r="34" spans="1:15" ht="56" x14ac:dyDescent="0.3">
      <c r="A34" s="30">
        <v>11</v>
      </c>
      <c r="B34" s="51" t="s">
        <v>75</v>
      </c>
      <c r="C34" s="52">
        <v>24550</v>
      </c>
      <c r="D34" s="38" t="s">
        <v>53</v>
      </c>
      <c r="E34" s="53">
        <f>C34/60</f>
        <v>409.16666666666669</v>
      </c>
      <c r="F34" s="33">
        <f>E34/200</f>
        <v>2.0458333333333334</v>
      </c>
      <c r="G34" s="33">
        <f>E34/200</f>
        <v>2.0458333333333334</v>
      </c>
      <c r="H34" s="33"/>
      <c r="I34" s="71" t="s">
        <v>122</v>
      </c>
      <c r="J34" s="47"/>
    </row>
    <row r="35" spans="1:15" ht="56" x14ac:dyDescent="0.3">
      <c r="A35" s="30">
        <v>12</v>
      </c>
      <c r="B35" s="51" t="s">
        <v>76</v>
      </c>
      <c r="C35" s="38">
        <v>770</v>
      </c>
      <c r="D35" s="38" t="s">
        <v>52</v>
      </c>
      <c r="E35" s="38">
        <f>C35</f>
        <v>770</v>
      </c>
      <c r="F35" s="33">
        <f>E35/200</f>
        <v>3.85</v>
      </c>
      <c r="G35" s="33">
        <f>E35/200</f>
        <v>3.85</v>
      </c>
      <c r="H35" s="33"/>
      <c r="I35" s="71" t="s">
        <v>123</v>
      </c>
      <c r="J35" s="47"/>
      <c r="K35" s="70"/>
    </row>
    <row r="36" spans="1:15" x14ac:dyDescent="0.3">
      <c r="A36" s="30">
        <v>13</v>
      </c>
      <c r="B36" s="54" t="s">
        <v>1</v>
      </c>
      <c r="C36" s="38" t="s">
        <v>2</v>
      </c>
      <c r="D36" s="38" t="s">
        <v>2</v>
      </c>
      <c r="E36" s="38" t="s">
        <v>2</v>
      </c>
      <c r="F36" s="55">
        <f>F6+F7+F8+F14+F19+F26+F33+F34+F35+F21+F20</f>
        <v>57.103730158730166</v>
      </c>
      <c r="G36" s="55">
        <f>G6+G7+G8+F14+F19+G20+G21+F26+F33+G34+G35</f>
        <v>62.8370634920635</v>
      </c>
      <c r="H36"/>
      <c r="I36"/>
      <c r="J36" s="73"/>
    </row>
    <row r="37" spans="1:15" ht="14.5" customHeight="1" x14ac:dyDescent="0.3">
      <c r="A37" s="30">
        <v>14</v>
      </c>
      <c r="B37" s="72" t="s">
        <v>124</v>
      </c>
      <c r="C37" s="37" t="s">
        <v>2</v>
      </c>
      <c r="D37" s="38" t="s">
        <v>20</v>
      </c>
      <c r="E37" s="37" t="s">
        <v>2</v>
      </c>
      <c r="F37" s="55">
        <f>F36*10%</f>
        <v>5.7103730158730173</v>
      </c>
      <c r="G37" s="55">
        <f>G36*10%</f>
        <v>6.2837063492063505</v>
      </c>
      <c r="H37"/>
      <c r="I37"/>
      <c r="J37" s="74"/>
    </row>
    <row r="38" spans="1:15" s="67" customFormat="1" x14ac:dyDescent="0.3">
      <c r="A38" s="48">
        <v>15</v>
      </c>
      <c r="B38" s="56" t="s">
        <v>100</v>
      </c>
      <c r="C38" s="49" t="s">
        <v>2</v>
      </c>
      <c r="D38" s="49" t="s">
        <v>2</v>
      </c>
      <c r="E38" s="49" t="s">
        <v>2</v>
      </c>
      <c r="F38" s="57">
        <f>F36+F37</f>
        <v>62.814103174603183</v>
      </c>
      <c r="G38" s="57">
        <f>G36+G37</f>
        <v>69.120769841269848</v>
      </c>
      <c r="H38"/>
      <c r="I38"/>
      <c r="J38" s="75"/>
    </row>
    <row r="39" spans="1:15" x14ac:dyDescent="0.3">
      <c r="B39" s="58"/>
      <c r="C39" s="58"/>
      <c r="D39" s="58"/>
      <c r="E39" s="58"/>
    </row>
    <row r="40" spans="1:15" x14ac:dyDescent="0.3">
      <c r="A40" s="254" t="s">
        <v>67</v>
      </c>
      <c r="B40" s="254"/>
      <c r="C40" s="254"/>
      <c r="D40" s="254"/>
      <c r="E40" s="254"/>
      <c r="F40" s="254"/>
      <c r="G40" s="254"/>
      <c r="H40" s="254"/>
      <c r="I40" s="254"/>
      <c r="J40" s="254"/>
    </row>
    <row r="41" spans="1:15" x14ac:dyDescent="0.3">
      <c r="B41" s="58"/>
      <c r="C41" s="58"/>
      <c r="D41" s="58"/>
      <c r="E41" s="58"/>
    </row>
    <row r="42" spans="1:15" x14ac:dyDescent="0.3">
      <c r="C42" s="58"/>
      <c r="D42" s="58"/>
      <c r="E42" s="58"/>
    </row>
    <row r="43" spans="1:15" x14ac:dyDescent="0.3">
      <c r="B43" s="58"/>
      <c r="C43" s="58"/>
      <c r="D43" s="58"/>
      <c r="E43" s="58"/>
    </row>
    <row r="44" spans="1:15" x14ac:dyDescent="0.3">
      <c r="B44" s="58"/>
      <c r="C44" s="58"/>
      <c r="D44" s="58"/>
      <c r="E44" s="58"/>
    </row>
    <row r="45" spans="1:15" x14ac:dyDescent="0.3">
      <c r="B45" s="58"/>
      <c r="C45" s="58"/>
      <c r="D45" s="58"/>
      <c r="E45" s="58"/>
    </row>
    <row r="58" spans="5:9" x14ac:dyDescent="0.3">
      <c r="E58" s="59"/>
      <c r="F58" s="50"/>
      <c r="I58" s="50"/>
    </row>
    <row r="59" spans="5:9" x14ac:dyDescent="0.3">
      <c r="E59" s="50"/>
      <c r="G59" s="50"/>
      <c r="H59" s="50"/>
    </row>
  </sheetData>
  <customSheetViews>
    <customSheetView guid="{CC63F85D-63B9-4AE4-A28C-227DAE744DBC}" fitToPage="1">
      <selection sqref="A1:I1"/>
      <pageMargins left="0.70866141732283472" right="0.70866141732283472" top="0.74803149606299213" bottom="0.74803149606299213" header="0.31496062992125984" footer="0.31496062992125984"/>
      <pageSetup paperSize="9" scale="63" fitToHeight="0" orientation="landscape" r:id="rId1"/>
    </customSheetView>
    <customSheetView guid="{BE8ADE53-8BEB-4C68-A52B-650D06D579FF}" showPageBreaks="1" topLeftCell="A17">
      <selection activeCell="H20" sqref="H20"/>
      <pageMargins left="0.70866141732283472" right="0.70866141732283472" top="0.74803149606299213" bottom="0.74803149606299213" header="0.31496062992125984" footer="0.31496062992125984"/>
      <pageSetup paperSize="9" scale="55" orientation="landscape" r:id="rId2"/>
    </customSheetView>
    <customSheetView guid="{DD9369C5-0AB7-4492-8028-68BB156F28A4}">
      <selection activeCell="G2" sqref="G2"/>
      <pageMargins left="0.70866141732283472" right="0.70866141732283472" top="0.74803149606299213" bottom="0.74803149606299213" header="0.31496062992125984" footer="0.31496062992125984"/>
      <pageSetup paperSize="9" scale="55" orientation="landscape" r:id="rId3"/>
    </customSheetView>
  </customSheetViews>
  <mergeCells count="62">
    <mergeCell ref="A9:J9"/>
    <mergeCell ref="A22:J22"/>
    <mergeCell ref="A40:J40"/>
    <mergeCell ref="A3:A4"/>
    <mergeCell ref="B3:B4"/>
    <mergeCell ref="C3:C4"/>
    <mergeCell ref="F11:G11"/>
    <mergeCell ref="F12:G12"/>
    <mergeCell ref="F13:G13"/>
    <mergeCell ref="F14:G14"/>
    <mergeCell ref="I11:I14"/>
    <mergeCell ref="J11:J14"/>
    <mergeCell ref="B11:B14"/>
    <mergeCell ref="A11:A14"/>
    <mergeCell ref="D11:D14"/>
    <mergeCell ref="A5:B5"/>
    <mergeCell ref="I15:I19"/>
    <mergeCell ref="A2:J2"/>
    <mergeCell ref="A1:J1"/>
    <mergeCell ref="J3:J4"/>
    <mergeCell ref="D3:D4"/>
    <mergeCell ref="E3:E4"/>
    <mergeCell ref="I3:I4"/>
    <mergeCell ref="H3:H4"/>
    <mergeCell ref="J15:J19"/>
    <mergeCell ref="F15:G15"/>
    <mergeCell ref="F16:G16"/>
    <mergeCell ref="F17:G17"/>
    <mergeCell ref="F18:G18"/>
    <mergeCell ref="F19:G19"/>
    <mergeCell ref="J23:J26"/>
    <mergeCell ref="F27:G27"/>
    <mergeCell ref="J27:J33"/>
    <mergeCell ref="B27:B33"/>
    <mergeCell ref="D27:D33"/>
    <mergeCell ref="F23:G23"/>
    <mergeCell ref="F24:G24"/>
    <mergeCell ref="F25:G25"/>
    <mergeCell ref="F26:G26"/>
    <mergeCell ref="I27:I33"/>
    <mergeCell ref="F30:G30"/>
    <mergeCell ref="F31:G31"/>
    <mergeCell ref="F32:G32"/>
    <mergeCell ref="I23:I26"/>
    <mergeCell ref="E23:E26"/>
    <mergeCell ref="F28:G28"/>
    <mergeCell ref="F29:G29"/>
    <mergeCell ref="F33:G33"/>
    <mergeCell ref="D23:D26"/>
    <mergeCell ref="B23:B26"/>
    <mergeCell ref="E27:E33"/>
    <mergeCell ref="C27:C33"/>
    <mergeCell ref="C23:C26"/>
    <mergeCell ref="E11:E14"/>
    <mergeCell ref="C11:C14"/>
    <mergeCell ref="C15:C19"/>
    <mergeCell ref="E15:E19"/>
    <mergeCell ref="A27:A33"/>
    <mergeCell ref="A15:A19"/>
    <mergeCell ref="A23:A26"/>
    <mergeCell ref="D15:D19"/>
    <mergeCell ref="B15:B19"/>
  </mergeCells>
  <pageMargins left="0.70866141732283472" right="0.70866141732283472" top="0.74803149606299213" bottom="0.74803149606299213" header="0.31496062992125984" footer="0.31496062992125984"/>
  <pageSetup paperSize="9" scale="55"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1.1. pielikums</vt:lpstr>
      <vt:lpstr>1.2. pielikums</vt:lpstr>
      <vt:lpstr>1.3. pielikums</vt:lpstr>
      <vt:lpstr>1.4. pielikums</vt:lpstr>
      <vt:lpstr>1.5. pielikums</vt:lpstr>
      <vt:lpstr>1.6. pielikums</vt:lpstr>
      <vt:lpstr>1.7. pielikums</vt:lpstr>
      <vt:lpstr>'1.2. pielikums'!Print_Titles</vt:lpstr>
      <vt:lpstr>'1.7.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Vjačeslavs Makarovs</cp:lastModifiedBy>
  <cp:lastPrinted>2017-08-09T11:20:06Z</cp:lastPrinted>
  <dcterms:created xsi:type="dcterms:W3CDTF">2012-09-03T07:32:21Z</dcterms:created>
  <dcterms:modified xsi:type="dcterms:W3CDTF">2022-09-27T09:34:31Z</dcterms:modified>
</cp:coreProperties>
</file>