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cflagovlv-my.sharepoint.com/personal/linda_brolisa_cfla_gov_lv/Documents/Documents/2.1.1.6. 3.k/Nolikums/GALA/"/>
    </mc:Choice>
  </mc:AlternateContent>
  <xr:revisionPtr revIDLastSave="4" documentId="8_{8D911A5A-7188-44E0-BBEE-6AA3695B4788}" xr6:coauthVersionLast="47" xr6:coauthVersionMax="47" xr10:uidLastSave="{1E46CF85-4112-4AA9-833A-1345E47C54ED}"/>
  <bookViews>
    <workbookView xWindow="-120" yWindow="-16320" windowWidth="29040" windowHeight="15720" xr2:uid="{B4F96327-F2AC-40E1-BE40-721F5FFBA53F}"/>
  </bookViews>
  <sheets>
    <sheet name="E-novertejums" sheetId="1" r:id="rId1"/>
    <sheet name="Faktori" sheetId="2" state="hidden" r:id="rId2"/>
  </sheets>
  <definedNames>
    <definedName name="_xlnm.Print_Area" localSheetId="0">'E-novertejums'!$B$2:$N$57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37" i="1" l="1"/>
  <c r="F43" i="1"/>
  <c r="H36" i="1"/>
  <c r="I36" i="1"/>
  <c r="J36" i="1"/>
  <c r="J26" i="1"/>
  <c r="J25" i="1"/>
  <c r="J24" i="1"/>
  <c r="J23" i="1"/>
  <c r="J21" i="1"/>
  <c r="J20" i="1"/>
  <c r="J19" i="1"/>
  <c r="J18" i="1"/>
  <c r="J17" i="1"/>
  <c r="J16" i="1"/>
  <c r="J15" i="1"/>
  <c r="I26" i="1"/>
  <c r="I28" i="1" s="1"/>
  <c r="I25" i="1"/>
  <c r="I24" i="1"/>
  <c r="I23" i="1"/>
  <c r="I21" i="1"/>
  <c r="I20" i="1"/>
  <c r="I19" i="1"/>
  <c r="I18" i="1"/>
  <c r="I17" i="1"/>
  <c r="I16" i="1"/>
  <c r="I15" i="1"/>
  <c r="H26" i="1"/>
  <c r="H28" i="1" s="1"/>
  <c r="H25" i="1"/>
  <c r="H24" i="1"/>
  <c r="H23" i="1"/>
  <c r="H21" i="1"/>
  <c r="H20" i="1"/>
  <c r="H19" i="1"/>
  <c r="H18" i="1"/>
  <c r="H17" i="1"/>
  <c r="H16" i="1"/>
  <c r="H15" i="1"/>
  <c r="J47" i="1"/>
  <c r="J46" i="1"/>
  <c r="J45" i="1"/>
  <c r="J44" i="1"/>
  <c r="J42" i="1"/>
  <c r="J41" i="1"/>
  <c r="J40" i="1"/>
  <c r="J39" i="1"/>
  <c r="J38" i="1"/>
  <c r="J37" i="1"/>
  <c r="I47" i="1"/>
  <c r="I46" i="1"/>
  <c r="I45" i="1"/>
  <c r="I44" i="1"/>
  <c r="I42" i="1"/>
  <c r="I41" i="1"/>
  <c r="I40" i="1"/>
  <c r="I39" i="1"/>
  <c r="I38" i="1"/>
  <c r="I37" i="1"/>
  <c r="H47" i="1"/>
  <c r="H48" i="1" s="1"/>
  <c r="K48" i="1" s="1"/>
  <c r="H46" i="1"/>
  <c r="H45" i="1"/>
  <c r="H44" i="1"/>
  <c r="H42" i="1"/>
  <c r="H41" i="1"/>
  <c r="H40" i="1"/>
  <c r="H39" i="1"/>
  <c r="H38" i="1"/>
  <c r="H37" i="1"/>
  <c r="F47" i="1"/>
  <c r="F46" i="1"/>
  <c r="F45" i="1"/>
  <c r="F44" i="1"/>
  <c r="C43" i="1"/>
  <c r="J43" i="1" s="1"/>
  <c r="P42" i="1"/>
  <c r="F42" i="1"/>
  <c r="P41" i="1"/>
  <c r="F41" i="1"/>
  <c r="O41" i="1" s="1"/>
  <c r="F40" i="1"/>
  <c r="O40" i="1" s="1"/>
  <c r="F39" i="1"/>
  <c r="P38" i="1"/>
  <c r="F38" i="1"/>
  <c r="L38" i="1" s="1"/>
  <c r="P37" i="1"/>
  <c r="P36" i="1"/>
  <c r="F36" i="1"/>
  <c r="O36" i="1" s="1"/>
  <c r="E13" i="2"/>
  <c r="N28" i="1"/>
  <c r="M28" i="1"/>
  <c r="P16" i="1"/>
  <c r="P17" i="1"/>
  <c r="P20" i="1"/>
  <c r="P21" i="1"/>
  <c r="P15" i="1"/>
  <c r="F22" i="1"/>
  <c r="C22" i="1"/>
  <c r="J22" i="1" s="1"/>
  <c r="F18" i="1"/>
  <c r="O18" i="1" s="1"/>
  <c r="F16" i="1"/>
  <c r="O16" i="1" s="1"/>
  <c r="K18" i="1" l="1"/>
  <c r="L18" i="1"/>
  <c r="O37" i="1"/>
  <c r="K37" i="1"/>
  <c r="K38" i="1"/>
  <c r="L37" i="1"/>
  <c r="K16" i="1"/>
  <c r="L16" i="1"/>
  <c r="F49" i="1"/>
  <c r="N39" i="1"/>
  <c r="H43" i="1"/>
  <c r="K43" i="1" s="1"/>
  <c r="I43" i="1"/>
  <c r="L43" i="1" s="1"/>
  <c r="H22" i="1"/>
  <c r="K22" i="1" s="1"/>
  <c r="I22" i="1"/>
  <c r="L22" i="1" s="1"/>
  <c r="L47" i="1"/>
  <c r="N47" i="1"/>
  <c r="I48" i="1"/>
  <c r="L48" i="1" s="1"/>
  <c r="M48" i="1" s="1"/>
  <c r="N37" i="1"/>
  <c r="K47" i="1"/>
  <c r="N44" i="1"/>
  <c r="N46" i="1"/>
  <c r="L45" i="1"/>
  <c r="L42" i="1"/>
  <c r="K41" i="1"/>
  <c r="N36" i="1"/>
  <c r="K36" i="1"/>
  <c r="N42" i="1"/>
  <c r="O42" i="1"/>
  <c r="L36" i="1"/>
  <c r="O39" i="1"/>
  <c r="N45" i="1"/>
  <c r="N38" i="1"/>
  <c r="O38" i="1"/>
  <c r="L41" i="1"/>
  <c r="N41" i="1"/>
  <c r="N43" i="1"/>
  <c r="J48" i="1"/>
  <c r="N48" i="1" s="1"/>
  <c r="K44" i="1"/>
  <c r="K40" i="1"/>
  <c r="L44" i="1"/>
  <c r="L40" i="1"/>
  <c r="N40" i="1"/>
  <c r="K46" i="1"/>
  <c r="L46" i="1"/>
  <c r="K39" i="1"/>
  <c r="L39" i="1"/>
  <c r="K42" i="1"/>
  <c r="K45" i="1"/>
  <c r="N22" i="1"/>
  <c r="N18" i="1"/>
  <c r="N16" i="1"/>
  <c r="J28" i="1"/>
  <c r="M18" i="1" l="1"/>
  <c r="K49" i="1"/>
  <c r="N49" i="1"/>
  <c r="L49" i="1"/>
  <c r="M47" i="1"/>
  <c r="M37" i="1"/>
  <c r="M45" i="1"/>
  <c r="M38" i="1"/>
  <c r="M36" i="1"/>
  <c r="M42" i="1"/>
  <c r="M41" i="1"/>
  <c r="M43" i="1"/>
  <c r="M40" i="1"/>
  <c r="M44" i="1"/>
  <c r="M39" i="1"/>
  <c r="M46" i="1"/>
  <c r="M22" i="1"/>
  <c r="M16" i="1"/>
  <c r="M49" i="1" l="1"/>
  <c r="L28" i="1" l="1"/>
  <c r="K28" i="1"/>
  <c r="N27" i="1"/>
  <c r="M27" i="1"/>
  <c r="J27" i="1"/>
  <c r="I27" i="1"/>
  <c r="L27" i="1" s="1"/>
  <c r="H27" i="1"/>
  <c r="K27" i="1" s="1"/>
  <c r="F26" i="1"/>
  <c r="N26" i="1" s="1"/>
  <c r="F25" i="1"/>
  <c r="N25" i="1" s="1"/>
  <c r="F24" i="1"/>
  <c r="N24" i="1" s="1"/>
  <c r="F23" i="1"/>
  <c r="N23" i="1" s="1"/>
  <c r="F21" i="1"/>
  <c r="N21" i="1" s="1"/>
  <c r="F20" i="1"/>
  <c r="F19" i="1"/>
  <c r="F17" i="1"/>
  <c r="F15" i="1"/>
  <c r="L17" i="1" l="1"/>
  <c r="K17" i="1"/>
  <c r="F29" i="1"/>
  <c r="O21" i="1"/>
  <c r="L21" i="1"/>
  <c r="K21" i="1"/>
  <c r="N19" i="1"/>
  <c r="O19" i="1"/>
  <c r="N15" i="1"/>
  <c r="O15" i="1"/>
  <c r="N20" i="1"/>
  <c r="O20" i="1"/>
  <c r="L20" i="1"/>
  <c r="K20" i="1"/>
  <c r="N17" i="1"/>
  <c r="O17" i="1"/>
  <c r="K15" i="1"/>
  <c r="L15" i="1"/>
  <c r="L24" i="1"/>
  <c r="K25" i="1"/>
  <c r="K19" i="1"/>
  <c r="K23" i="1"/>
  <c r="L23" i="1"/>
  <c r="L26" i="1"/>
  <c r="L19" i="1"/>
  <c r="K26" i="1"/>
  <c r="K24" i="1"/>
  <c r="L25" i="1"/>
  <c r="N29" i="1" l="1"/>
  <c r="L6" i="1" s="1"/>
  <c r="L29" i="1"/>
  <c r="K29" i="1"/>
  <c r="M15" i="1"/>
  <c r="M26" i="1"/>
  <c r="M20" i="1"/>
  <c r="M19" i="1"/>
  <c r="M21" i="1"/>
  <c r="M24" i="1"/>
  <c r="M23" i="1"/>
  <c r="M17" i="1"/>
  <c r="M25" i="1"/>
  <c r="M29" i="1" l="1"/>
  <c r="L5" i="1" s="1"/>
  <c r="L8" i="1" s="1"/>
</calcChain>
</file>

<file path=xl/sharedStrings.xml><?xml version="1.0" encoding="utf-8"?>
<sst xmlns="http://schemas.openxmlformats.org/spreadsheetml/2006/main" count="124" uniqueCount="75">
  <si>
    <t>Ziņojums par kopējo ēkas energoefektivitāti</t>
  </si>
  <si>
    <t>Projekta sasniedzamie rādītāji</t>
  </si>
  <si>
    <t>1</t>
  </si>
  <si>
    <t>plānotais ERAF finansējums:</t>
  </si>
  <si>
    <t>euro</t>
  </si>
  <si>
    <t>2</t>
  </si>
  <si>
    <t>plānotais ikgadējais kopējās primārās enerģijas samazinājums ēkā vai ēkas daļā:</t>
  </si>
  <si>
    <t>kWh gadā</t>
  </si>
  <si>
    <t>3</t>
  </si>
  <si>
    <t>plānotais ikgadējais siltumnīcefekta gāzu emisiju samazinājums ēkā vai ēkas daļā, oglekļa dioksīda ekvivalenta tonnas gadā:</t>
  </si>
  <si>
    <r>
      <t>t CO</t>
    </r>
    <r>
      <rPr>
        <vertAlign val="subscript"/>
        <sz val="10"/>
        <color theme="1"/>
        <rFont val="Aptos "/>
        <charset val="186"/>
      </rPr>
      <t>2</t>
    </r>
    <r>
      <rPr>
        <sz val="10"/>
        <color theme="1"/>
        <rFont val="Aptos "/>
        <charset val="186"/>
      </rPr>
      <t xml:space="preserve"> gadā</t>
    </r>
  </si>
  <si>
    <t>4</t>
  </si>
  <si>
    <t>projekta ietvaros atjaunotās vai pārbūvētās ēkas vai ēkas daļas kopējā iekštelpu platība:</t>
  </si>
  <si>
    <r>
      <t>m</t>
    </r>
    <r>
      <rPr>
        <vertAlign val="superscript"/>
        <sz val="10"/>
        <color theme="1"/>
        <rFont val="Aptos "/>
        <charset val="186"/>
      </rPr>
      <t>2</t>
    </r>
  </si>
  <si>
    <t>Izvēlne</t>
  </si>
  <si>
    <t>Jāaizpilda, ja attiecināms</t>
  </si>
  <si>
    <r>
      <t>Projekta efektivitātes kritērijs (K</t>
    </r>
    <r>
      <rPr>
        <vertAlign val="subscript"/>
        <sz val="10"/>
        <color theme="1"/>
        <rFont val="Aptos "/>
        <charset val="186"/>
      </rPr>
      <t>1</t>
    </r>
    <r>
      <rPr>
        <sz val="10"/>
        <color theme="1"/>
        <rFont val="Aptos "/>
        <charset val="186"/>
      </rPr>
      <t>)</t>
    </r>
  </si>
  <si>
    <t>Esošā situācija</t>
  </si>
  <si>
    <t>Energo-pakalpojums</t>
  </si>
  <si>
    <t>Energoresurss</t>
  </si>
  <si>
    <t>Energoresurss pakalpojumam</t>
  </si>
  <si>
    <t>Sezonālais
lietderības
koeficients</t>
  </si>
  <si>
    <r>
      <t>Primārās enerģijas koeficients neatjaunojamo energoresursu daļai, f</t>
    </r>
    <r>
      <rPr>
        <vertAlign val="subscript"/>
        <sz val="8"/>
        <rFont val="Aptos "/>
        <charset val="186"/>
      </rPr>
      <t>Pnren</t>
    </r>
  </si>
  <si>
    <r>
      <t>Primārās enerģijas koeficients atjaunojamo energoresursu daļai, f</t>
    </r>
    <r>
      <rPr>
        <vertAlign val="subscript"/>
        <sz val="8"/>
        <rFont val="Aptos "/>
        <charset val="186"/>
      </rPr>
      <t>Pren</t>
    </r>
  </si>
  <si>
    <r>
      <t>CO</t>
    </r>
    <r>
      <rPr>
        <vertAlign val="subscript"/>
        <sz val="8"/>
        <rFont val="Aptos "/>
        <charset val="186"/>
      </rPr>
      <t>2</t>
    </r>
    <r>
      <rPr>
        <sz val="8"/>
        <rFont val="Aptos "/>
        <charset val="186"/>
      </rPr>
      <t xml:space="preserve"> 
emisiju faktors</t>
    </r>
  </si>
  <si>
    <r>
      <t>Svērtā energoefektivitāte, E</t>
    </r>
    <r>
      <rPr>
        <vertAlign val="subscript"/>
        <sz val="11"/>
        <rFont val="Aptos "/>
        <charset val="186"/>
      </rPr>
      <t>we</t>
    </r>
  </si>
  <si>
    <t>pieprasītā
enerģija</t>
  </si>
  <si>
    <t>zudumi vai papildus
enerģija</t>
  </si>
  <si>
    <t>piegādātā
enerģija</t>
  </si>
  <si>
    <r>
      <t>Primārā neatjaunojamā
enerģija
E</t>
    </r>
    <r>
      <rPr>
        <vertAlign val="subscript"/>
        <sz val="8"/>
        <rFont val="Aptos "/>
        <charset val="186"/>
      </rPr>
      <t>Pnren</t>
    </r>
  </si>
  <si>
    <r>
      <t>Primārā atjaunojamā
enerģija
E</t>
    </r>
    <r>
      <rPr>
        <vertAlign val="subscript"/>
        <sz val="8"/>
        <rFont val="Aptos "/>
        <charset val="186"/>
      </rPr>
      <t>pren</t>
    </r>
  </si>
  <si>
    <r>
      <t>Primārā kopējā 
enerģija
E</t>
    </r>
    <r>
      <rPr>
        <b/>
        <vertAlign val="subscript"/>
        <sz val="8"/>
        <rFont val="Aptos "/>
        <charset val="186"/>
      </rPr>
      <t>Ptot</t>
    </r>
  </si>
  <si>
    <r>
      <t>CO</t>
    </r>
    <r>
      <rPr>
        <vertAlign val="subscript"/>
        <sz val="8"/>
        <rFont val="Aptos "/>
        <charset val="186"/>
      </rPr>
      <t>2</t>
    </r>
    <r>
      <rPr>
        <sz val="8"/>
        <rFont val="Aptos "/>
        <charset val="186"/>
      </rPr>
      <t xml:space="preserve"> emisiju novērtējums</t>
    </r>
  </si>
  <si>
    <t>kWh</t>
  </si>
  <si>
    <t>kg//kWh</t>
  </si>
  <si>
    <t>kg</t>
  </si>
  <si>
    <t>Apkure</t>
  </si>
  <si>
    <t>elektroenerģija no tīkla</t>
  </si>
  <si>
    <t>saules termālā enerģija</t>
  </si>
  <si>
    <t xml:space="preserve">Sadzīves karstais ūdens sagatavošana 
</t>
  </si>
  <si>
    <t>Ventilācija</t>
  </si>
  <si>
    <t>Apgaismojums</t>
  </si>
  <si>
    <t>Dzesēšana</t>
  </si>
  <si>
    <t>ĒEE lietderīgi izmantotā saules termālā siltumenerģija:</t>
  </si>
  <si>
    <t>lietderīgi izmantotā saules PV elektroenerģija:</t>
  </si>
  <si>
    <t>Kopā:</t>
  </si>
  <si>
    <t>Plānotā situācija</t>
  </si>
  <si>
    <t>Skaidrojums:</t>
  </si>
  <si>
    <t>Jā</t>
  </si>
  <si>
    <t xml:space="preserve">Projekta ēkas atbilstība ēku energoefektivitātes un siltumnoturībsa līdz gandrīz nulles enerģijas ēkas vai bezemisiju ēkas līmenim, ievērojot energoefektivitāti un būvniecību regulējošajos normatīvajos aktos noteiktos izņēmumus un atkāpes no pienākuma publiskajam sektoram ēku atjaunošanā un pārbūvē sasniegt gandrīz nulles enerģijas ēkas vai bezemisiju ēkas līmeni  </t>
  </si>
  <si>
    <t>Neatkarīgs eksperts ēku energoefektivitātes jomā</t>
  </si>
  <si>
    <r>
      <t>f</t>
    </r>
    <r>
      <rPr>
        <vertAlign val="subscript"/>
        <sz val="8"/>
        <color rgb="FF414142"/>
        <rFont val="Arial"/>
        <family val="2"/>
      </rPr>
      <t>Pnren</t>
    </r>
  </si>
  <si>
    <r>
      <t>f</t>
    </r>
    <r>
      <rPr>
        <vertAlign val="subscript"/>
        <sz val="8"/>
        <color rgb="FF414142"/>
        <rFont val="Arial"/>
        <family val="2"/>
      </rPr>
      <t>Pren</t>
    </r>
  </si>
  <si>
    <r>
      <t>f</t>
    </r>
    <r>
      <rPr>
        <vertAlign val="subscript"/>
        <sz val="8"/>
        <color rgb="FF414142"/>
        <rFont val="Arial"/>
        <family val="2"/>
      </rPr>
      <t>Ptot</t>
    </r>
  </si>
  <si>
    <r>
      <t>K</t>
    </r>
    <r>
      <rPr>
        <vertAlign val="subscript"/>
        <sz val="8"/>
        <color rgb="FF414142"/>
        <rFont val="Arial"/>
        <family val="2"/>
      </rPr>
      <t>CO2e</t>
    </r>
  </si>
  <si>
    <t>(kg/kWh)</t>
  </si>
  <si>
    <t>akmeņogles (antracīts)</t>
  </si>
  <si>
    <t>brūnogles (lignīts)</t>
  </si>
  <si>
    <t>0.364</t>
  </si>
  <si>
    <t>degvieleļļa (kurināmais mazuts)</t>
  </si>
  <si>
    <t>dabasgāze</t>
  </si>
  <si>
    <t>sašķidrinātā naftas gāze</t>
  </si>
  <si>
    <t>biokurināmais, cietais</t>
  </si>
  <si>
    <t>biokurināmais, šķidrais</t>
  </si>
  <si>
    <t>biokurināmais, gāzveida</t>
  </si>
  <si>
    <t>CSA, no konkrēta piegādātāja</t>
  </si>
  <si>
    <t>CSA, saražota no fosilajiem kurināmajiem</t>
  </si>
  <si>
    <t>CSA, saražota no AER kurināmajiem</t>
  </si>
  <si>
    <t>CSA, saražota no AER un fosilajiem kurināmajiem</t>
  </si>
  <si>
    <t>saules PV elektroenerģija</t>
  </si>
  <si>
    <t>vides enerģija</t>
  </si>
  <si>
    <t>Jā/Nē/NA</t>
  </si>
  <si>
    <t xml:space="preserve">Enerģija, kas gadā saražota ar projektā iekļautajām iekārtām, 100 procentu apjomā tiks izmantota ēkas pašpatēriņam  </t>
  </si>
  <si>
    <t>Plānotais kopējās primārās enerģijas ietaupījums pēc projekta īstenošanas ir ne mazāks kā 30 procenti gadā</t>
  </si>
  <si>
    <t>SAM 2.1.1.6. pasākuma trešās kārtas atlases nolikuma 7. pielikums - paraugs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</si>
</sst>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0">
    <font>
      <sz val="11"/>
      <color theme="1"/>
      <name val="Aptos Narrow"/>
      <family val="2"/>
      <charset val="186"/>
      <scheme val="minor"/>
    </font>
    <font>
      <sz val="11"/>
      <color theme="1"/>
      <name val="Aptos Narrow"/>
      <family val="2"/>
      <charset val="186"/>
      <scheme val="minor"/>
    </font>
    <font>
      <sz val="11"/>
      <color theme="1"/>
      <name val="Times New Roman"/>
      <family val="1"/>
      <charset val="186"/>
    </font>
    <font>
      <sz val="6"/>
      <color theme="1"/>
      <name val="Times New Roman"/>
      <family val="1"/>
      <charset val="186"/>
    </font>
    <font>
      <sz val="10"/>
      <color theme="1"/>
      <name val="Times New Roman"/>
      <family val="1"/>
    </font>
    <font>
      <sz val="11"/>
      <color theme="1"/>
      <name val="Times New Roman"/>
      <family val="1"/>
    </font>
    <font>
      <sz val="8"/>
      <color rgb="FF414142"/>
      <name val="Arial"/>
      <family val="2"/>
    </font>
    <font>
      <i/>
      <sz val="8"/>
      <color rgb="FF414142"/>
      <name val="Arial"/>
      <family val="2"/>
    </font>
    <font>
      <vertAlign val="subscript"/>
      <sz val="8"/>
      <color rgb="FF414142"/>
      <name val="Arial"/>
      <family val="2"/>
    </font>
    <font>
      <b/>
      <sz val="8"/>
      <color rgb="FF414142"/>
      <name val="Arial"/>
      <family val="2"/>
    </font>
    <font>
      <sz val="16"/>
      <color theme="1"/>
      <name val="Times New Roman"/>
      <family val="1"/>
    </font>
    <font>
      <sz val="11"/>
      <color rgb="FF414142"/>
      <name val="Arial"/>
      <family val="2"/>
    </font>
    <font>
      <vertAlign val="subscript"/>
      <sz val="10"/>
      <color theme="1"/>
      <name val="Aptos "/>
      <charset val="186"/>
    </font>
    <font>
      <sz val="10"/>
      <color theme="1"/>
      <name val="Aptos "/>
      <charset val="186"/>
    </font>
    <font>
      <vertAlign val="superscript"/>
      <sz val="10"/>
      <color theme="1"/>
      <name val="Aptos "/>
      <charset val="186"/>
    </font>
    <font>
      <vertAlign val="subscript"/>
      <sz val="8"/>
      <name val="Aptos "/>
      <charset val="186"/>
    </font>
    <font>
      <sz val="8"/>
      <name val="Aptos "/>
      <charset val="186"/>
    </font>
    <font>
      <vertAlign val="subscript"/>
      <sz val="11"/>
      <name val="Aptos "/>
      <charset val="186"/>
    </font>
    <font>
      <b/>
      <vertAlign val="subscript"/>
      <sz val="8"/>
      <name val="Aptos "/>
      <charset val="186"/>
    </font>
    <font>
      <sz val="11"/>
      <color theme="1"/>
      <name val="Aptos "/>
      <charset val="186"/>
    </font>
    <font>
      <sz val="14"/>
      <color theme="1"/>
      <name val="Aptos "/>
      <charset val="186"/>
    </font>
    <font>
      <b/>
      <sz val="12"/>
      <color theme="1"/>
      <name val="Aptos "/>
      <charset val="186"/>
    </font>
    <font>
      <sz val="12"/>
      <color theme="1"/>
      <name val="Aptos "/>
      <charset val="186"/>
    </font>
    <font>
      <i/>
      <sz val="10"/>
      <color theme="1"/>
      <name val="Aptos "/>
      <charset val="186"/>
    </font>
    <font>
      <sz val="12"/>
      <color rgb="FF0070C0"/>
      <name val="Aptos "/>
      <charset val="186"/>
    </font>
    <font>
      <sz val="9"/>
      <color theme="1"/>
      <name val="Aptos "/>
      <charset val="186"/>
    </font>
    <font>
      <b/>
      <sz val="12"/>
      <color rgb="FF0070C0"/>
      <name val="Aptos "/>
      <charset val="186"/>
    </font>
    <font>
      <b/>
      <sz val="12"/>
      <name val="Aptos "/>
      <charset val="186"/>
    </font>
    <font>
      <sz val="11"/>
      <name val="Aptos "/>
      <charset val="186"/>
    </font>
    <font>
      <b/>
      <sz val="8"/>
      <name val="Aptos "/>
      <charset val="186"/>
    </font>
    <font>
      <sz val="6"/>
      <name val="Aptos "/>
      <charset val="186"/>
    </font>
    <font>
      <sz val="6"/>
      <color theme="1"/>
      <name val="Aptos "/>
      <charset val="186"/>
    </font>
    <font>
      <sz val="9"/>
      <name val="Aptos "/>
      <charset val="186"/>
    </font>
    <font>
      <sz val="10"/>
      <name val="Aptos "/>
      <charset val="186"/>
    </font>
    <font>
      <b/>
      <sz val="11"/>
      <name val="Aptos "/>
      <charset val="186"/>
    </font>
    <font>
      <b/>
      <sz val="11"/>
      <color rgb="FFFF0000"/>
      <name val="Aptos "/>
      <charset val="186"/>
    </font>
    <font>
      <b/>
      <sz val="9"/>
      <name val="Aptos "/>
      <charset val="186"/>
    </font>
    <font>
      <b/>
      <sz val="12"/>
      <color rgb="FFFF0000"/>
      <name val="Aptos "/>
      <charset val="186"/>
    </font>
    <font>
      <b/>
      <sz val="11"/>
      <color rgb="FF0070C0"/>
      <name val="Aptos "/>
      <charset val="186"/>
    </font>
    <font>
      <sz val="12"/>
      <color rgb="FFFF0000"/>
      <name val="Aptos "/>
      <charset val="186"/>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style="thin">
        <color rgb="FF414142"/>
      </left>
      <right style="thin">
        <color rgb="FF414142"/>
      </right>
      <top style="thin">
        <color rgb="FF414142"/>
      </top>
      <bottom style="thin">
        <color rgb="FF414142"/>
      </bottom>
      <diagonal/>
    </border>
    <border>
      <left style="thin">
        <color rgb="FF414142"/>
      </left>
      <right style="thin">
        <color rgb="FF414142"/>
      </right>
      <top/>
      <bottom style="thin">
        <color rgb="FF414142"/>
      </bottom>
      <diagonal/>
    </border>
    <border>
      <left style="thin">
        <color rgb="FF414142"/>
      </left>
      <right/>
      <top style="thin">
        <color rgb="FF414142"/>
      </top>
      <bottom style="thin">
        <color rgb="FF414142"/>
      </bottom>
      <diagonal/>
    </border>
  </borders>
  <cellStyleXfs count="2">
    <xf numFmtId="0" fontId="0" fillId="0" borderId="0"/>
    <xf numFmtId="9" fontId="1" fillId="0" borderId="0" applyFont="0" applyFill="0" applyBorder="0" applyAlignment="0" applyProtection="0"/>
  </cellStyleXfs>
  <cellXfs count="130">
    <xf numFmtId="0" fontId="0" fillId="0" borderId="0" xfId="0"/>
    <xf numFmtId="0" fontId="2" fillId="0" borderId="0" xfId="0" applyFont="1"/>
    <xf numFmtId="0" fontId="3" fillId="0" borderId="0" xfId="0" applyFont="1"/>
    <xf numFmtId="0" fontId="2" fillId="0" borderId="0" xfId="0" applyFont="1" applyAlignment="1">
      <alignment horizontal="center"/>
    </xf>
    <xf numFmtId="0" fontId="5" fillId="0" borderId="0" xfId="0" applyFont="1"/>
    <xf numFmtId="0" fontId="6" fillId="4" borderId="1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1" xfId="0" applyFont="1" applyFill="1" applyBorder="1" applyAlignment="1">
      <alignment vertical="top" wrapText="1"/>
    </xf>
    <xf numFmtId="0" fontId="6" fillId="4" borderId="11" xfId="0" applyFont="1" applyFill="1" applyBorder="1" applyAlignment="1">
      <alignment vertical="center" wrapText="1"/>
    </xf>
    <xf numFmtId="0" fontId="6" fillId="4" borderId="13" xfId="0" applyFont="1" applyFill="1" applyBorder="1" applyAlignment="1">
      <alignment vertical="center" wrapText="1"/>
    </xf>
    <xf numFmtId="166" fontId="4" fillId="0" borderId="0" xfId="1" applyNumberFormat="1" applyFont="1" applyAlignment="1">
      <alignment horizontal="center" vertical="center" wrapText="1"/>
    </xf>
    <xf numFmtId="0" fontId="4" fillId="0" borderId="0" xfId="0" applyFont="1"/>
    <xf numFmtId="0" fontId="4" fillId="0" borderId="0" xfId="0" applyFont="1" applyAlignment="1">
      <alignment vertical="center" wrapText="1"/>
    </xf>
    <xf numFmtId="0" fontId="6" fillId="4" borderId="12" xfId="0" applyFont="1" applyFill="1" applyBorder="1" applyAlignment="1">
      <alignment vertical="top" wrapText="1"/>
    </xf>
    <xf numFmtId="0" fontId="7" fillId="6"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9" fillId="6" borderId="13" xfId="0" applyFont="1" applyFill="1" applyBorder="1" applyAlignment="1">
      <alignment vertical="center" wrapText="1"/>
    </xf>
    <xf numFmtId="0" fontId="10" fillId="0" borderId="0" xfId="0" applyFont="1" applyAlignment="1">
      <alignment vertical="center"/>
    </xf>
    <xf numFmtId="0" fontId="11" fillId="0" borderId="11" xfId="0" applyFont="1" applyBorder="1" applyAlignment="1">
      <alignment horizontal="center" vertical="center" wrapText="1"/>
    </xf>
    <xf numFmtId="0" fontId="19" fillId="0" borderId="0" xfId="0" applyFont="1"/>
    <xf numFmtId="0" fontId="13" fillId="0" borderId="0" xfId="0" applyFont="1"/>
    <xf numFmtId="49" fontId="13" fillId="0" borderId="4" xfId="0" applyNumberFormat="1" applyFont="1" applyBorder="1" applyAlignment="1">
      <alignment horizontal="center" vertical="center"/>
    </xf>
    <xf numFmtId="0" fontId="13" fillId="0" borderId="2" xfId="0" applyFont="1" applyBorder="1" applyAlignment="1">
      <alignment horizontal="right" vertical="center"/>
    </xf>
    <xf numFmtId="164" fontId="23" fillId="0" borderId="0" xfId="0" applyNumberFormat="1" applyFont="1" applyAlignment="1">
      <alignment vertical="center"/>
    </xf>
    <xf numFmtId="49" fontId="13" fillId="0" borderId="9" xfId="0" applyNumberFormat="1" applyFont="1" applyBorder="1" applyAlignment="1">
      <alignment horizontal="center" vertical="center"/>
    </xf>
    <xf numFmtId="1" fontId="13" fillId="0" borderId="0" xfId="0" applyNumberFormat="1" applyFont="1" applyAlignment="1">
      <alignment vertical="center"/>
    </xf>
    <xf numFmtId="164" fontId="13" fillId="0" borderId="0" xfId="0" applyNumberFormat="1" applyFont="1" applyAlignment="1">
      <alignment vertical="center"/>
    </xf>
    <xf numFmtId="49" fontId="25" fillId="7" borderId="4" xfId="0" applyNumberFormat="1" applyFont="1" applyFill="1" applyBorder="1" applyAlignment="1">
      <alignment vertical="center"/>
    </xf>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30" fillId="3" borderId="4" xfId="0" applyFont="1" applyFill="1" applyBorder="1" applyAlignment="1">
      <alignment horizontal="center" vertical="center"/>
    </xf>
    <xf numFmtId="0" fontId="29" fillId="3" borderId="4" xfId="0" applyFont="1" applyFill="1" applyBorder="1" applyAlignment="1">
      <alignment horizontal="center" vertical="center"/>
    </xf>
    <xf numFmtId="0" fontId="31" fillId="0" borderId="0" xfId="0" applyFont="1"/>
    <xf numFmtId="0" fontId="30" fillId="3" borderId="4"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2" fillId="0" borderId="5" xfId="0" applyFont="1" applyBorder="1" applyAlignment="1">
      <alignment horizontal="left" vertical="top"/>
    </xf>
    <xf numFmtId="0" fontId="16" fillId="7" borderId="4" xfId="0" applyFont="1" applyFill="1" applyBorder="1" applyAlignment="1">
      <alignment vertical="center"/>
    </xf>
    <xf numFmtId="1" fontId="33" fillId="5" borderId="4" xfId="0" applyNumberFormat="1" applyFont="1" applyFill="1" applyBorder="1" applyAlignment="1">
      <alignment horizontal="center" vertical="center"/>
    </xf>
    <xf numFmtId="1" fontId="33" fillId="0" borderId="4" xfId="0" applyNumberFormat="1" applyFont="1" applyBorder="1" applyAlignment="1">
      <alignment horizontal="center" vertical="center"/>
    </xf>
    <xf numFmtId="2" fontId="13" fillId="0" borderId="4" xfId="0" applyNumberFormat="1" applyFont="1" applyBorder="1" applyAlignment="1">
      <alignment horizontal="center"/>
    </xf>
    <xf numFmtId="2" fontId="33" fillId="0" borderId="4" xfId="0" applyNumberFormat="1" applyFont="1" applyBorder="1" applyAlignment="1">
      <alignment horizontal="center" vertical="center"/>
    </xf>
    <xf numFmtId="164" fontId="33" fillId="0" borderId="4" xfId="0" applyNumberFormat="1" applyFont="1" applyBorder="1" applyAlignment="1">
      <alignment horizontal="center" vertical="center"/>
    </xf>
    <xf numFmtId="1" fontId="33" fillId="0" borderId="5" xfId="0" applyNumberFormat="1" applyFont="1" applyBorder="1" applyAlignment="1">
      <alignment horizontal="center" vertical="center"/>
    </xf>
    <xf numFmtId="0" fontId="16" fillId="0" borderId="4" xfId="0" applyFont="1" applyBorder="1" applyAlignment="1">
      <alignment vertical="center"/>
    </xf>
    <xf numFmtId="0" fontId="13" fillId="0" borderId="4" xfId="0" applyFont="1" applyBorder="1" applyAlignment="1">
      <alignment horizontal="center"/>
    </xf>
    <xf numFmtId="0" fontId="32" fillId="0" borderId="5" xfId="0" applyFont="1" applyBorder="1" applyAlignment="1">
      <alignment horizontal="left" vertical="top" wrapText="1"/>
    </xf>
    <xf numFmtId="4" fontId="13" fillId="0" borderId="4" xfId="0" applyNumberFormat="1" applyFont="1" applyBorder="1" applyAlignment="1">
      <alignment horizontal="center"/>
    </xf>
    <xf numFmtId="0" fontId="33" fillId="0" borderId="4" xfId="0" applyFont="1" applyBorder="1" applyAlignment="1">
      <alignment horizontal="center"/>
    </xf>
    <xf numFmtId="165" fontId="33" fillId="5" borderId="4" xfId="0" applyNumberFormat="1" applyFont="1" applyFill="1" applyBorder="1" applyAlignment="1">
      <alignment horizontal="center" vertical="center"/>
    </xf>
    <xf numFmtId="165" fontId="33" fillId="0" borderId="4" xfId="0" applyNumberFormat="1" applyFont="1" applyBorder="1" applyAlignment="1">
      <alignment horizontal="center" vertical="center"/>
    </xf>
    <xf numFmtId="0" fontId="34" fillId="0" borderId="0" xfId="0" applyFont="1" applyAlignment="1">
      <alignment vertical="center"/>
    </xf>
    <xf numFmtId="0" fontId="28" fillId="0" borderId="0" xfId="0" applyFont="1" applyAlignment="1">
      <alignment horizontal="center" vertical="center" wrapText="1"/>
    </xf>
    <xf numFmtId="1" fontId="28" fillId="0" borderId="4" xfId="0" applyNumberFormat="1" applyFont="1" applyBorder="1" applyAlignment="1">
      <alignment horizontal="center" vertical="center"/>
    </xf>
    <xf numFmtId="1" fontId="28" fillId="0" borderId="4" xfId="0" applyNumberFormat="1" applyFont="1" applyBorder="1" applyAlignment="1">
      <alignment horizontal="center"/>
    </xf>
    <xf numFmtId="0" fontId="36" fillId="0" borderId="0" xfId="0" applyFont="1" applyAlignment="1">
      <alignment vertical="center"/>
    </xf>
    <xf numFmtId="0" fontId="32" fillId="0" borderId="0" xfId="0" applyFont="1" applyAlignment="1">
      <alignment horizontal="center" vertical="center" wrapText="1"/>
    </xf>
    <xf numFmtId="0" fontId="32" fillId="0" borderId="0" xfId="0" applyFont="1" applyAlignment="1">
      <alignment horizontal="right" vertical="center"/>
    </xf>
    <xf numFmtId="1" fontId="28" fillId="0" borderId="10" xfId="0" applyNumberFormat="1" applyFont="1" applyBorder="1" applyAlignment="1">
      <alignment horizontal="center" vertical="center"/>
    </xf>
    <xf numFmtId="1" fontId="37" fillId="0" borderId="0" xfId="0" applyNumberFormat="1" applyFont="1" applyAlignment="1">
      <alignment horizontal="center" vertical="center"/>
    </xf>
    <xf numFmtId="1" fontId="38" fillId="0" borderId="0" xfId="0" applyNumberFormat="1" applyFont="1" applyAlignment="1">
      <alignment horizontal="center"/>
    </xf>
    <xf numFmtId="1" fontId="39" fillId="0" borderId="0" xfId="0" applyNumberFormat="1" applyFont="1" applyAlignment="1">
      <alignment horizontal="center"/>
    </xf>
    <xf numFmtId="0" fontId="36" fillId="0" borderId="0" xfId="0" applyFont="1" applyAlignment="1">
      <alignment vertical="top" wrapText="1"/>
    </xf>
    <xf numFmtId="14" fontId="19" fillId="0" borderId="0" xfId="0" applyNumberFormat="1" applyFont="1"/>
    <xf numFmtId="0" fontId="28" fillId="0" borderId="0" xfId="0" applyFont="1" applyAlignment="1">
      <alignment horizontal="right" vertical="center"/>
    </xf>
    <xf numFmtId="1" fontId="28" fillId="0" borderId="0" xfId="0" applyNumberFormat="1" applyFont="1" applyAlignment="1">
      <alignment horizontal="center" vertical="center"/>
    </xf>
    <xf numFmtId="1" fontId="35" fillId="0" borderId="0" xfId="0" applyNumberFormat="1" applyFont="1" applyAlignment="1">
      <alignment horizontal="center" vertical="center"/>
    </xf>
    <xf numFmtId="1" fontId="28" fillId="0" borderId="10" xfId="0" applyNumberFormat="1" applyFont="1" applyBorder="1" applyAlignment="1">
      <alignment horizontal="center"/>
    </xf>
    <xf numFmtId="1" fontId="28" fillId="0" borderId="0" xfId="0" applyNumberFormat="1" applyFont="1" applyAlignment="1">
      <alignment horizontal="center"/>
    </xf>
    <xf numFmtId="0" fontId="28" fillId="0" borderId="0" xfId="0" applyFont="1" applyAlignment="1">
      <alignment horizontal="center" vertical="center"/>
    </xf>
    <xf numFmtId="0" fontId="13" fillId="0" borderId="4" xfId="0" applyFont="1" applyBorder="1" applyAlignment="1">
      <alignment horizontal="left" vertical="center" wrapText="1"/>
    </xf>
    <xf numFmtId="0" fontId="0" fillId="0" borderId="4" xfId="0" applyBorder="1" applyAlignment="1">
      <alignment horizontal="left" vertical="center" wrapText="1"/>
    </xf>
    <xf numFmtId="1" fontId="33" fillId="5" borderId="1" xfId="0" applyNumberFormat="1"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1" fontId="28" fillId="0" borderId="8" xfId="0" applyNumberFormat="1" applyFont="1" applyBorder="1" applyAlignment="1">
      <alignment horizontal="center" wrapText="1"/>
    </xf>
    <xf numFmtId="0" fontId="0" fillId="0" borderId="8" xfId="0" applyBorder="1" applyAlignment="1">
      <alignment horizontal="center" wrapText="1"/>
    </xf>
    <xf numFmtId="0" fontId="0" fillId="5" borderId="4" xfId="0" applyFill="1" applyBorder="1" applyAlignment="1">
      <alignment horizontal="center" vertical="center"/>
    </xf>
    <xf numFmtId="0" fontId="13"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19" fillId="0" borderId="0" xfId="0" applyFont="1" applyAlignment="1">
      <alignment horizontal="right"/>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2" fontId="22" fillId="5" borderId="4" xfId="0" applyNumberFormat="1" applyFont="1" applyFill="1" applyBorder="1" applyAlignment="1">
      <alignment horizontal="center" vertical="center"/>
    </xf>
    <xf numFmtId="165" fontId="26" fillId="0" borderId="1" xfId="0" applyNumberFormat="1" applyFont="1" applyBorder="1" applyAlignment="1">
      <alignment horizontal="center" vertical="center"/>
    </xf>
    <xf numFmtId="165" fontId="26" fillId="0" borderId="3" xfId="0" applyNumberFormat="1" applyFont="1" applyBorder="1" applyAlignment="1">
      <alignment horizontal="center" vertical="center"/>
    </xf>
    <xf numFmtId="0" fontId="28" fillId="5" borderId="0" xfId="0" applyFont="1" applyFill="1" applyAlignment="1">
      <alignment horizontal="center" vertical="top" wrapText="1"/>
    </xf>
    <xf numFmtId="0" fontId="20" fillId="0" borderId="0" xfId="0" applyFont="1" applyAlignment="1">
      <alignment horizontal="center" vertical="center" wrapText="1"/>
    </xf>
    <xf numFmtId="0" fontId="36" fillId="0" borderId="0" xfId="0" applyFont="1" applyAlignment="1">
      <alignment horizontal="right" vertical="center"/>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3" xfId="0" applyFont="1" applyFill="1" applyBorder="1" applyAlignment="1">
      <alignment horizontal="left" vertical="center" wrapText="1"/>
    </xf>
    <xf numFmtId="1" fontId="24" fillId="0" borderId="4" xfId="0" applyNumberFormat="1" applyFont="1" applyBorder="1" applyAlignment="1">
      <alignment horizontal="center" vertical="center"/>
    </xf>
    <xf numFmtId="164" fontId="24" fillId="0" borderId="4" xfId="0" applyNumberFormat="1" applyFont="1" applyBorder="1" applyAlignment="1">
      <alignment horizontal="center" vertical="center"/>
    </xf>
    <xf numFmtId="1" fontId="35" fillId="0" borderId="1" xfId="0" applyNumberFormat="1" applyFont="1" applyBorder="1" applyAlignment="1">
      <alignment horizontal="center" vertical="center"/>
    </xf>
    <xf numFmtId="1" fontId="35" fillId="0" borderId="2" xfId="0" applyNumberFormat="1" applyFont="1" applyBorder="1" applyAlignment="1">
      <alignment horizontal="center" vertical="center"/>
    </xf>
    <xf numFmtId="1" fontId="35" fillId="0" borderId="3" xfId="0" applyNumberFormat="1" applyFont="1" applyBorder="1" applyAlignment="1">
      <alignment horizontal="center" vertical="center"/>
    </xf>
    <xf numFmtId="0" fontId="36" fillId="0" borderId="8" xfId="0" applyFont="1" applyBorder="1" applyAlignment="1">
      <alignment horizontal="center" vertical="top" wrapText="1"/>
    </xf>
    <xf numFmtId="0" fontId="32" fillId="0" borderId="5" xfId="0" applyFont="1" applyBorder="1" applyAlignment="1">
      <alignment horizontal="left" vertical="top"/>
    </xf>
    <xf numFmtId="0" fontId="32" fillId="0" borderId="6" xfId="0" applyFont="1" applyBorder="1" applyAlignment="1">
      <alignment horizontal="left" vertical="top"/>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3" xfId="0" applyFont="1" applyBorder="1" applyAlignment="1">
      <alignment horizontal="right" vertical="center"/>
    </xf>
    <xf numFmtId="0" fontId="28" fillId="0" borderId="0" xfId="0" applyFont="1" applyAlignment="1">
      <alignment horizontal="right" vertical="center"/>
    </xf>
    <xf numFmtId="49" fontId="25" fillId="5" borderId="1" xfId="0" applyNumberFormat="1" applyFont="1" applyFill="1" applyBorder="1" applyAlignment="1">
      <alignment horizontal="center" vertical="center"/>
    </xf>
    <xf numFmtId="49" fontId="25" fillId="5" borderId="3" xfId="0" applyNumberFormat="1" applyFont="1" applyFill="1" applyBorder="1" applyAlignment="1">
      <alignment horizontal="center" vertical="center"/>
    </xf>
    <xf numFmtId="0" fontId="21" fillId="0" borderId="0" xfId="0" applyFont="1" applyAlignment="1">
      <alignment horizontal="left"/>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6" borderId="4" xfId="0" applyFont="1" applyFill="1" applyBorder="1" applyAlignment="1">
      <alignment horizontal="center" vertical="center" wrapText="1"/>
    </xf>
  </cellXfs>
  <cellStyles count="2">
    <cellStyle name="Normal" xfId="0" builtinId="0"/>
    <cellStyle name="Percent" xfId="1" builtinId="5"/>
  </cellStyles>
  <dxfs count="27">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2490-E39D-4119-9696-6C58AF936B13}">
  <sheetPr>
    <pageSetUpPr fitToPage="1"/>
  </sheetPr>
  <dimension ref="A1:P58"/>
  <sheetViews>
    <sheetView tabSelected="1" topLeftCell="A29" zoomScale="85" zoomScaleNormal="85" workbookViewId="0">
      <selection activeCell="S12" sqref="S12"/>
    </sheetView>
  </sheetViews>
  <sheetFormatPr defaultColWidth="8.81640625" defaultRowHeight="14"/>
  <cols>
    <col min="1" max="1" width="5.1796875" style="1" customWidth="1"/>
    <col min="2" max="2" width="10.54296875" style="1" customWidth="1"/>
    <col min="3" max="3" width="25.453125" style="1" customWidth="1"/>
    <col min="4" max="5" width="10.54296875" style="1" customWidth="1"/>
    <col min="6" max="7" width="9.453125" style="1" customWidth="1"/>
    <col min="8" max="8" width="15.453125" style="1" customWidth="1"/>
    <col min="9" max="9" width="16.453125" style="1" customWidth="1"/>
    <col min="10" max="10" width="14.1796875" style="1" customWidth="1"/>
    <col min="11" max="11" width="15.453125" style="1" customWidth="1"/>
    <col min="12" max="12" width="13.81640625" style="1" customWidth="1"/>
    <col min="13" max="13" width="16.453125" style="1" customWidth="1"/>
    <col min="14" max="14" width="10.81640625" style="1" customWidth="1"/>
    <col min="15" max="16" width="0" style="1" hidden="1" customWidth="1"/>
    <col min="17" max="16384" width="8.81640625" style="1"/>
  </cols>
  <sheetData>
    <row r="1" spans="1:16">
      <c r="A1" s="20"/>
      <c r="B1" s="20"/>
      <c r="C1" s="20"/>
      <c r="D1" s="20"/>
      <c r="E1" s="20"/>
      <c r="F1" s="20"/>
      <c r="G1" s="20"/>
      <c r="H1" s="20"/>
      <c r="I1" s="20"/>
      <c r="J1" s="84" t="s">
        <v>74</v>
      </c>
      <c r="K1" s="84"/>
      <c r="L1" s="84"/>
      <c r="M1" s="84"/>
      <c r="N1" s="84"/>
    </row>
    <row r="2" spans="1:16" ht="21" customHeight="1">
      <c r="A2" s="20"/>
      <c r="B2" s="103" t="s">
        <v>0</v>
      </c>
      <c r="C2" s="103"/>
      <c r="D2" s="103"/>
      <c r="E2" s="103"/>
      <c r="F2" s="103"/>
      <c r="G2" s="103"/>
      <c r="H2" s="103"/>
      <c r="I2" s="103"/>
      <c r="J2" s="103"/>
      <c r="K2" s="103"/>
      <c r="L2" s="103"/>
      <c r="M2" s="103"/>
      <c r="N2" s="103"/>
      <c r="O2" s="18"/>
    </row>
    <row r="3" spans="1:16" ht="15.5">
      <c r="A3" s="20"/>
      <c r="B3" s="122" t="s">
        <v>1</v>
      </c>
      <c r="C3" s="122"/>
      <c r="D3" s="122"/>
      <c r="E3" s="122"/>
      <c r="F3" s="122"/>
      <c r="G3" s="122"/>
      <c r="H3" s="122"/>
      <c r="I3" s="122"/>
      <c r="J3" s="122"/>
      <c r="K3" s="122"/>
      <c r="L3" s="122"/>
      <c r="M3" s="122"/>
      <c r="N3" s="122"/>
    </row>
    <row r="4" spans="1:16" s="11" customFormat="1" ht="17.149999999999999" customHeight="1">
      <c r="A4" s="21"/>
      <c r="B4" s="22" t="s">
        <v>2</v>
      </c>
      <c r="C4" s="96" t="s">
        <v>3</v>
      </c>
      <c r="D4" s="97"/>
      <c r="E4" s="97"/>
      <c r="F4" s="97"/>
      <c r="G4" s="97"/>
      <c r="H4" s="97"/>
      <c r="I4" s="97"/>
      <c r="J4" s="97"/>
      <c r="K4" s="98"/>
      <c r="L4" s="99"/>
      <c r="M4" s="99"/>
      <c r="N4" s="24" t="s">
        <v>4</v>
      </c>
      <c r="O4" s="12"/>
    </row>
    <row r="5" spans="1:16" s="11" customFormat="1" ht="17.149999999999999" customHeight="1">
      <c r="A5" s="21"/>
      <c r="B5" s="25" t="s">
        <v>5</v>
      </c>
      <c r="C5" s="96" t="s">
        <v>6</v>
      </c>
      <c r="D5" s="97"/>
      <c r="E5" s="97"/>
      <c r="F5" s="97"/>
      <c r="G5" s="97"/>
      <c r="H5" s="97"/>
      <c r="I5" s="97"/>
      <c r="J5" s="97"/>
      <c r="K5" s="98"/>
      <c r="L5" s="108">
        <f>ROUND(M29-M49,0)</f>
        <v>0</v>
      </c>
      <c r="M5" s="108"/>
      <c r="N5" s="26" t="s">
        <v>7</v>
      </c>
      <c r="O5" s="10"/>
    </row>
    <row r="6" spans="1:16" s="11" customFormat="1" ht="17.149999999999999" customHeight="1">
      <c r="A6" s="21"/>
      <c r="B6" s="22" t="s">
        <v>8</v>
      </c>
      <c r="C6" s="96" t="s">
        <v>9</v>
      </c>
      <c r="D6" s="97"/>
      <c r="E6" s="97"/>
      <c r="F6" s="97"/>
      <c r="G6" s="97"/>
      <c r="H6" s="97"/>
      <c r="I6" s="97"/>
      <c r="J6" s="97"/>
      <c r="K6" s="98"/>
      <c r="L6" s="109">
        <f>(N29-N49)/1000</f>
        <v>0</v>
      </c>
      <c r="M6" s="109"/>
      <c r="N6" s="27" t="s">
        <v>10</v>
      </c>
      <c r="O6" s="12"/>
    </row>
    <row r="7" spans="1:16" s="11" customFormat="1" ht="17.149999999999999" customHeight="1">
      <c r="A7" s="21"/>
      <c r="B7" s="22" t="s">
        <v>11</v>
      </c>
      <c r="C7" s="96" t="s">
        <v>12</v>
      </c>
      <c r="D7" s="97"/>
      <c r="E7" s="97"/>
      <c r="F7" s="97"/>
      <c r="G7" s="97"/>
      <c r="H7" s="97"/>
      <c r="I7" s="97"/>
      <c r="J7" s="97"/>
      <c r="K7" s="98"/>
      <c r="L7" s="99"/>
      <c r="M7" s="99"/>
      <c r="N7" s="27" t="s">
        <v>13</v>
      </c>
      <c r="O7" s="12"/>
    </row>
    <row r="8" spans="1:16" s="11" customFormat="1" ht="15.5">
      <c r="A8" s="21"/>
      <c r="B8" s="21"/>
      <c r="C8" s="28" t="s">
        <v>14</v>
      </c>
      <c r="D8" s="120" t="s">
        <v>15</v>
      </c>
      <c r="E8" s="121"/>
      <c r="F8" s="23"/>
      <c r="G8" s="23"/>
      <c r="H8" s="23"/>
      <c r="I8" s="23"/>
      <c r="J8" s="23"/>
      <c r="K8" s="23" t="s">
        <v>16</v>
      </c>
      <c r="L8" s="100" t="str">
        <f>IFERROR(12/(L4/L5)+16835/(L4/L6)+1000/(L4/L7),"PĀRBAUDĪT IEDADDATUS")</f>
        <v>PĀRBAUDĪT IEDADDATUS</v>
      </c>
      <c r="M8" s="101"/>
      <c r="N8" s="27"/>
      <c r="O8" s="12"/>
    </row>
    <row r="9" spans="1:16" ht="15.5">
      <c r="A9" s="20"/>
      <c r="B9" s="125" t="s">
        <v>0</v>
      </c>
      <c r="C9" s="126"/>
      <c r="D9" s="126"/>
      <c r="E9" s="126"/>
      <c r="F9" s="126"/>
      <c r="G9" s="126"/>
      <c r="H9" s="126"/>
      <c r="I9" s="126"/>
      <c r="J9" s="126"/>
      <c r="K9" s="126"/>
      <c r="L9" s="126"/>
      <c r="M9" s="126"/>
      <c r="N9" s="127"/>
    </row>
    <row r="10" spans="1:16" ht="15.5">
      <c r="A10" s="20"/>
      <c r="B10" s="105" t="s">
        <v>17</v>
      </c>
      <c r="C10" s="106"/>
      <c r="D10" s="106"/>
      <c r="E10" s="106"/>
      <c r="F10" s="106"/>
      <c r="G10" s="106"/>
      <c r="H10" s="106"/>
      <c r="I10" s="106"/>
      <c r="J10" s="106"/>
      <c r="K10" s="106"/>
      <c r="L10" s="106"/>
      <c r="M10" s="106"/>
      <c r="N10" s="107"/>
    </row>
    <row r="11" spans="1:16" ht="14.15" customHeight="1">
      <c r="A11" s="20"/>
      <c r="B11" s="91" t="s">
        <v>18</v>
      </c>
      <c r="C11" s="92" t="s">
        <v>19</v>
      </c>
      <c r="D11" s="93" t="s">
        <v>20</v>
      </c>
      <c r="E11" s="94"/>
      <c r="F11" s="95"/>
      <c r="G11" s="85" t="s">
        <v>21</v>
      </c>
      <c r="H11" s="85" t="s">
        <v>22</v>
      </c>
      <c r="I11" s="85" t="s">
        <v>23</v>
      </c>
      <c r="J11" s="85" t="s">
        <v>24</v>
      </c>
      <c r="K11" s="88" t="s">
        <v>25</v>
      </c>
      <c r="L11" s="89"/>
      <c r="M11" s="89"/>
      <c r="N11" s="90"/>
    </row>
    <row r="12" spans="1:16" ht="37.4" customHeight="1">
      <c r="A12" s="20"/>
      <c r="B12" s="91"/>
      <c r="C12" s="92"/>
      <c r="D12" s="29" t="s">
        <v>26</v>
      </c>
      <c r="E12" s="29" t="s">
        <v>27</v>
      </c>
      <c r="F12" s="29" t="s">
        <v>28</v>
      </c>
      <c r="G12" s="86"/>
      <c r="H12" s="86"/>
      <c r="I12" s="86"/>
      <c r="J12" s="87"/>
      <c r="K12" s="29" t="s">
        <v>29</v>
      </c>
      <c r="L12" s="29" t="s">
        <v>30</v>
      </c>
      <c r="M12" s="32" t="s">
        <v>31</v>
      </c>
      <c r="N12" s="31" t="s">
        <v>32</v>
      </c>
    </row>
    <row r="13" spans="1:16">
      <c r="A13" s="20"/>
      <c r="B13" s="91"/>
      <c r="C13" s="92"/>
      <c r="D13" s="33" t="s">
        <v>33</v>
      </c>
      <c r="E13" s="33" t="s">
        <v>33</v>
      </c>
      <c r="F13" s="33" t="s">
        <v>33</v>
      </c>
      <c r="G13" s="87"/>
      <c r="H13" s="87"/>
      <c r="I13" s="87"/>
      <c r="J13" s="33" t="s">
        <v>34</v>
      </c>
      <c r="K13" s="30" t="s">
        <v>33</v>
      </c>
      <c r="L13" s="30" t="s">
        <v>33</v>
      </c>
      <c r="M13" s="34" t="s">
        <v>33</v>
      </c>
      <c r="N13" s="30" t="s">
        <v>35</v>
      </c>
    </row>
    <row r="14" spans="1:16" s="2" customFormat="1" ht="8">
      <c r="A14" s="35"/>
      <c r="B14" s="36">
        <v>1</v>
      </c>
      <c r="C14" s="33">
        <v>2</v>
      </c>
      <c r="D14" s="33">
        <v>3</v>
      </c>
      <c r="E14" s="33">
        <v>4</v>
      </c>
      <c r="F14" s="33">
        <v>5</v>
      </c>
      <c r="G14" s="37">
        <v>6</v>
      </c>
      <c r="H14" s="37">
        <v>7</v>
      </c>
      <c r="I14" s="33">
        <v>8</v>
      </c>
      <c r="J14" s="33">
        <v>9</v>
      </c>
      <c r="K14" s="37">
        <v>10</v>
      </c>
      <c r="L14" s="37">
        <v>11</v>
      </c>
      <c r="M14" s="37">
        <v>12</v>
      </c>
      <c r="N14" s="37">
        <v>13</v>
      </c>
    </row>
    <row r="15" spans="1:16">
      <c r="A15" s="20"/>
      <c r="B15" s="114" t="s">
        <v>36</v>
      </c>
      <c r="C15" s="39"/>
      <c r="D15" s="40"/>
      <c r="E15" s="40"/>
      <c r="F15" s="41">
        <f>D15+E15</f>
        <v>0</v>
      </c>
      <c r="G15" s="42"/>
      <c r="H15" s="43">
        <f>IFERROR((VLOOKUP(C15,Faktori!$B$4:$F$19,2,FALSE)),0)</f>
        <v>0</v>
      </c>
      <c r="I15" s="43">
        <f>IFERROR((VLOOKUP(C15,Faktori!$B$4:$F$18,3,FALSE)),0)</f>
        <v>0</v>
      </c>
      <c r="J15" s="44">
        <f>IFERROR((VLOOKUP(C15,Faktori!$B$4:$F$18,5,FALSE)),0)</f>
        <v>0</v>
      </c>
      <c r="K15" s="41" t="str">
        <f>IFERROR(F15/G15*H15,"")</f>
        <v/>
      </c>
      <c r="L15" s="41" t="str">
        <f>IFERROR(F15/G15*I15,"")</f>
        <v/>
      </c>
      <c r="M15" s="45">
        <f>IFERROR(K15+L15,0)</f>
        <v>0</v>
      </c>
      <c r="N15" s="41">
        <f>IFERROR(IF(F15="","",F15/G15*J15),0)</f>
        <v>0</v>
      </c>
      <c r="O15" s="1">
        <f>IF(F15&gt;0,1,0)</f>
        <v>0</v>
      </c>
      <c r="P15" s="1">
        <f>IF(C15="",0,IF(C15=Faktori!$B$13,1,0))</f>
        <v>0</v>
      </c>
    </row>
    <row r="16" spans="1:16">
      <c r="A16" s="20"/>
      <c r="B16" s="115"/>
      <c r="C16" s="39"/>
      <c r="D16" s="40"/>
      <c r="E16" s="40"/>
      <c r="F16" s="41">
        <f t="shared" ref="F16" si="0">D16+E16</f>
        <v>0</v>
      </c>
      <c r="G16" s="42"/>
      <c r="H16" s="43">
        <f>IFERROR((VLOOKUP(C16,Faktori!$B$4:$F$19,2,FALSE)),0)</f>
        <v>0</v>
      </c>
      <c r="I16" s="43">
        <f>IFERROR((VLOOKUP(C16,Faktori!$B$4:$F$18,3,FALSE)),0)</f>
        <v>0</v>
      </c>
      <c r="J16" s="44">
        <f>IFERROR((VLOOKUP(C16,Faktori!$B$4:$F$18,5,FALSE)),0)</f>
        <v>0</v>
      </c>
      <c r="K16" s="41">
        <f>IFERROR(F16/G16*H16,0)</f>
        <v>0</v>
      </c>
      <c r="L16" s="41">
        <f>IFERROR(F16/G16*I16,0)</f>
        <v>0</v>
      </c>
      <c r="M16" s="45">
        <f t="shared" ref="M16" si="1">IFERROR(K16+L16,0)</f>
        <v>0</v>
      </c>
      <c r="N16" s="41">
        <f t="shared" ref="N16" si="2">IFERROR(IF(F16="","",F16/G16*J16),0)</f>
        <v>0</v>
      </c>
      <c r="O16" s="1">
        <f t="shared" ref="O16:O21" si="3">IF(F16&gt;0,1,0)</f>
        <v>0</v>
      </c>
      <c r="P16" s="1">
        <f>IF(C16="",0,IF(C16=Faktori!$B$13,1,0))</f>
        <v>0</v>
      </c>
    </row>
    <row r="17" spans="1:16">
      <c r="A17" s="20"/>
      <c r="B17" s="115"/>
      <c r="C17" s="39"/>
      <c r="D17" s="40"/>
      <c r="E17" s="40"/>
      <c r="F17" s="41">
        <f t="shared" ref="F17:F25" si="4">D17+E17</f>
        <v>0</v>
      </c>
      <c r="G17" s="42"/>
      <c r="H17" s="43">
        <f>IFERROR((VLOOKUP(C17,Faktori!$B$4:$F$19,2,FALSE)),0)</f>
        <v>0</v>
      </c>
      <c r="I17" s="43">
        <f>IFERROR((VLOOKUP(C17,Faktori!$B$4:$F$18,3,FALSE)),0)</f>
        <v>0</v>
      </c>
      <c r="J17" s="44">
        <f>IFERROR((VLOOKUP(C17,Faktori!$B$4:$F$18,5,FALSE)),0)</f>
        <v>0</v>
      </c>
      <c r="K17" s="41">
        <f>IFERROR(F17/G17*H17,0)</f>
        <v>0</v>
      </c>
      <c r="L17" s="41">
        <f>IFERROR(F17/G17*I17,0)</f>
        <v>0</v>
      </c>
      <c r="M17" s="45">
        <f t="shared" ref="M17:M25" si="5">IFERROR(K17+L17,0)</f>
        <v>0</v>
      </c>
      <c r="N17" s="41">
        <f t="shared" ref="N17:N21" si="6">IFERROR(IF(F17="","",F17/G17*J17),0)</f>
        <v>0</v>
      </c>
      <c r="O17" s="1">
        <f t="shared" si="3"/>
        <v>0</v>
      </c>
      <c r="P17" s="1">
        <f>IF(C17="",0,IF(C17=Faktori!$B$13,1,0))</f>
        <v>0</v>
      </c>
    </row>
    <row r="18" spans="1:16">
      <c r="A18" s="20"/>
      <c r="B18" s="115"/>
      <c r="C18" s="46" t="s">
        <v>37</v>
      </c>
      <c r="D18" s="40"/>
      <c r="E18" s="40"/>
      <c r="F18" s="41">
        <f t="shared" ref="F18" si="7">D18+E18</f>
        <v>0</v>
      </c>
      <c r="G18" s="47"/>
      <c r="H18" s="43">
        <f>IFERROR((VLOOKUP(C18,Faktori!$B$4:$F$19,2,FALSE)),0)</f>
        <v>0.6</v>
      </c>
      <c r="I18" s="43">
        <f>IFERROR((VLOOKUP(C18,Faktori!$B$4:$F$18,3,FALSE)),0)</f>
        <v>0.8</v>
      </c>
      <c r="J18" s="44">
        <f>IFERROR((VLOOKUP(C18,Faktori!$B$4:$F$18,5,FALSE)),0)</f>
        <v>9.6000000000000002E-2</v>
      </c>
      <c r="K18" s="41">
        <f>IFERROR(F18*H18,"")</f>
        <v>0</v>
      </c>
      <c r="L18" s="41">
        <f>IFERROR(F18*I18,"")</f>
        <v>0</v>
      </c>
      <c r="M18" s="45">
        <f>IFERROR(K18+L18,0)</f>
        <v>0</v>
      </c>
      <c r="N18" s="41">
        <f>IFERROR(IF(F18="","",F18*J18),0)</f>
        <v>0</v>
      </c>
      <c r="O18" s="1">
        <f t="shared" si="3"/>
        <v>0</v>
      </c>
    </row>
    <row r="19" spans="1:16">
      <c r="A19" s="20"/>
      <c r="B19" s="115"/>
      <c r="C19" s="46" t="s">
        <v>38</v>
      </c>
      <c r="D19" s="40"/>
      <c r="E19" s="40"/>
      <c r="F19" s="41">
        <f t="shared" si="4"/>
        <v>0</v>
      </c>
      <c r="G19" s="47"/>
      <c r="H19" s="41">
        <f>IFERROR((VLOOKUP(C19,Faktori!$B$4:$F$19,2,FALSE)),0)</f>
        <v>0</v>
      </c>
      <c r="I19" s="41">
        <f>IFERROR((VLOOKUP(C19,Faktori!$B$4:$F$18,3,FALSE)),0)</f>
        <v>0</v>
      </c>
      <c r="J19" s="41">
        <f>IFERROR((VLOOKUP(C19,Faktori!$B$4:$F$18,5,FALSE)),0)</f>
        <v>0</v>
      </c>
      <c r="K19" s="41">
        <f>IFERROR(F19*H19,"")</f>
        <v>0</v>
      </c>
      <c r="L19" s="41">
        <f>IFERROR(F19*I19,"")</f>
        <v>0</v>
      </c>
      <c r="M19" s="45">
        <f t="shared" si="5"/>
        <v>0</v>
      </c>
      <c r="N19" s="41">
        <f>IFERROR(IF(F19="","",F19*J19),0)</f>
        <v>0</v>
      </c>
      <c r="O19" s="1">
        <f t="shared" si="3"/>
        <v>0</v>
      </c>
    </row>
    <row r="20" spans="1:16" ht="14.15" customHeight="1">
      <c r="A20" s="20"/>
      <c r="B20" s="123" t="s">
        <v>39</v>
      </c>
      <c r="C20" s="39"/>
      <c r="D20" s="40"/>
      <c r="E20" s="40"/>
      <c r="F20" s="41">
        <f t="shared" si="4"/>
        <v>0</v>
      </c>
      <c r="G20" s="49"/>
      <c r="H20" s="43">
        <f>IFERROR((VLOOKUP(C20,Faktori!$B$4:$F$19,2,FALSE)),0)</f>
        <v>0</v>
      </c>
      <c r="I20" s="43">
        <f>IFERROR((VLOOKUP(C20,Faktori!$B$4:$F$18,3,FALSE)),0)</f>
        <v>0</v>
      </c>
      <c r="J20" s="44">
        <f>IFERROR((VLOOKUP(C20,Faktori!$B$4:$F$18,5,FALSE)),0)</f>
        <v>0</v>
      </c>
      <c r="K20" s="41">
        <f>IFERROR(F20/G20*H20,0)</f>
        <v>0</v>
      </c>
      <c r="L20" s="41">
        <f>IFERROR(F20/G20*I20,0)</f>
        <v>0</v>
      </c>
      <c r="M20" s="45">
        <f t="shared" si="5"/>
        <v>0</v>
      </c>
      <c r="N20" s="41">
        <f t="shared" si="6"/>
        <v>0</v>
      </c>
      <c r="O20" s="1">
        <f t="shared" si="3"/>
        <v>0</v>
      </c>
      <c r="P20" s="1">
        <f>IF(C20="",0,IF(C20=Faktori!$B$13,1,0))</f>
        <v>0</v>
      </c>
    </row>
    <row r="21" spans="1:16">
      <c r="A21" s="20"/>
      <c r="B21" s="124"/>
      <c r="C21" s="39"/>
      <c r="D21" s="40"/>
      <c r="E21" s="40"/>
      <c r="F21" s="41">
        <f t="shared" si="4"/>
        <v>0</v>
      </c>
      <c r="G21" s="49"/>
      <c r="H21" s="43">
        <f>IFERROR((VLOOKUP(C21,Faktori!$B$4:$F$19,2,FALSE)),0)</f>
        <v>0</v>
      </c>
      <c r="I21" s="43">
        <f>IFERROR((VLOOKUP(C21,Faktori!$B$4:$F$18,3,FALSE)),0)</f>
        <v>0</v>
      </c>
      <c r="J21" s="44">
        <f>IFERROR((VLOOKUP(C21,Faktori!$B$4:$F$18,5,FALSE)),0)</f>
        <v>0</v>
      </c>
      <c r="K21" s="41">
        <f>IFERROR(F21/G21*H21,0)</f>
        <v>0</v>
      </c>
      <c r="L21" s="41">
        <f>IFERROR(F21/G21*I21,0)</f>
        <v>0</v>
      </c>
      <c r="M21" s="45">
        <f t="shared" si="5"/>
        <v>0</v>
      </c>
      <c r="N21" s="41">
        <f t="shared" si="6"/>
        <v>0</v>
      </c>
      <c r="O21" s="1">
        <f t="shared" si="3"/>
        <v>0</v>
      </c>
      <c r="P21" s="1">
        <f>IF(C21="",0,IF(C21=Faktori!$B$13,1,0))</f>
        <v>0</v>
      </c>
    </row>
    <row r="22" spans="1:16">
      <c r="A22" s="20"/>
      <c r="B22" s="124"/>
      <c r="C22" s="46" t="str">
        <f>C18</f>
        <v>elektroenerģija no tīkla</v>
      </c>
      <c r="D22" s="40"/>
      <c r="E22" s="40"/>
      <c r="F22" s="41">
        <f t="shared" ref="F22" si="8">D22+E22</f>
        <v>0</v>
      </c>
      <c r="G22" s="50"/>
      <c r="H22" s="43">
        <f>IFERROR((VLOOKUP(C22,Faktori!$B$4:$F$19,2,FALSE)),0)</f>
        <v>0.6</v>
      </c>
      <c r="I22" s="43">
        <f>IFERROR((VLOOKUP(C22,Faktori!$B$4:$F$18,3,FALSE)),0)</f>
        <v>0.8</v>
      </c>
      <c r="J22" s="44">
        <f>IFERROR((VLOOKUP(C22,Faktori!$B$4:$F$18,5,FALSE)),0)</f>
        <v>9.6000000000000002E-2</v>
      </c>
      <c r="K22" s="41">
        <f>IFERROR(F22*H22,"")</f>
        <v>0</v>
      </c>
      <c r="L22" s="41">
        <f>IFERROR(F22*I22,"")</f>
        <v>0</v>
      </c>
      <c r="M22" s="45">
        <f t="shared" ref="M22" si="9">IFERROR(K22+L22,0)</f>
        <v>0</v>
      </c>
      <c r="N22" s="41">
        <f>IFERROR(IF(F22="","",F22*J22),0)</f>
        <v>0</v>
      </c>
    </row>
    <row r="23" spans="1:16">
      <c r="A23" s="20"/>
      <c r="B23" s="124"/>
      <c r="C23" s="46" t="s">
        <v>38</v>
      </c>
      <c r="D23" s="40"/>
      <c r="E23" s="40"/>
      <c r="F23" s="41">
        <f t="shared" si="4"/>
        <v>0</v>
      </c>
      <c r="G23" s="50"/>
      <c r="H23" s="41">
        <f>IFERROR((VLOOKUP(C23,Faktori!$B$4:$F$19,2,FALSE)),0)</f>
        <v>0</v>
      </c>
      <c r="I23" s="41">
        <f>IFERROR((VLOOKUP(C23,Faktori!$B$4:$F$18,3,FALSE)),0)</f>
        <v>0</v>
      </c>
      <c r="J23" s="41">
        <f>IFERROR((VLOOKUP(C23,Faktori!$B$4:$F$18,5,FALSE)),0)</f>
        <v>0</v>
      </c>
      <c r="K23" s="41">
        <f>IFERROR(F23*H23,"")</f>
        <v>0</v>
      </c>
      <c r="L23" s="41">
        <f>IFERROR(F23*I23,"")</f>
        <v>0</v>
      </c>
      <c r="M23" s="45">
        <f t="shared" si="5"/>
        <v>0</v>
      </c>
      <c r="N23" s="41">
        <f>IFERROR(IF(F23="","",F23*J23),0)</f>
        <v>0</v>
      </c>
    </row>
    <row r="24" spans="1:16" ht="14.5" customHeight="1">
      <c r="A24" s="20"/>
      <c r="B24" s="48" t="s">
        <v>40</v>
      </c>
      <c r="C24" s="46" t="s">
        <v>37</v>
      </c>
      <c r="D24" s="40"/>
      <c r="E24" s="40"/>
      <c r="F24" s="41">
        <f t="shared" si="4"/>
        <v>0</v>
      </c>
      <c r="G24" s="50"/>
      <c r="H24" s="43">
        <f>IFERROR((VLOOKUP(C24,Faktori!$B$4:$F$19,2,FALSE)),0)</f>
        <v>0.6</v>
      </c>
      <c r="I24" s="43">
        <f>IFERROR((VLOOKUP(C24,Faktori!$B$4:$F$18,3,FALSE)),0)</f>
        <v>0.8</v>
      </c>
      <c r="J24" s="44">
        <f>IFERROR((VLOOKUP(C24,Faktori!$B$4:$F$18,5,FALSE)),0)</f>
        <v>9.6000000000000002E-2</v>
      </c>
      <c r="K24" s="41">
        <f t="shared" ref="K24:K25" si="10">IFERROR(F24*H24,"")</f>
        <v>0</v>
      </c>
      <c r="L24" s="41">
        <f t="shared" ref="L24:L25" si="11">IFERROR(F24*I24,"")</f>
        <v>0</v>
      </c>
      <c r="M24" s="45">
        <f t="shared" si="5"/>
        <v>0</v>
      </c>
      <c r="N24" s="41">
        <f t="shared" ref="N24:N27" si="12">IFERROR(IF(F24="","",F24*J24),0)</f>
        <v>0</v>
      </c>
    </row>
    <row r="25" spans="1:16" ht="14.5" customHeight="1">
      <c r="A25" s="20"/>
      <c r="B25" s="48" t="s">
        <v>41</v>
      </c>
      <c r="C25" s="46" t="s">
        <v>37</v>
      </c>
      <c r="D25" s="40"/>
      <c r="E25" s="40"/>
      <c r="F25" s="41">
        <f t="shared" si="4"/>
        <v>0</v>
      </c>
      <c r="G25" s="50"/>
      <c r="H25" s="43">
        <f>IFERROR((VLOOKUP(C25,Faktori!$B$4:$F$19,2,FALSE)),0)</f>
        <v>0.6</v>
      </c>
      <c r="I25" s="43">
        <f>IFERROR((VLOOKUP(C25,Faktori!$B$4:$F$18,3,FALSE)),0)</f>
        <v>0.8</v>
      </c>
      <c r="J25" s="44">
        <f>IFERROR((VLOOKUP(C25,Faktori!$B$4:$F$18,5,FALSE)),0)</f>
        <v>9.6000000000000002E-2</v>
      </c>
      <c r="K25" s="41">
        <f t="shared" si="10"/>
        <v>0</v>
      </c>
      <c r="L25" s="41">
        <f t="shared" si="11"/>
        <v>0</v>
      </c>
      <c r="M25" s="45">
        <f t="shared" si="5"/>
        <v>0</v>
      </c>
      <c r="N25" s="41">
        <f t="shared" si="12"/>
        <v>0</v>
      </c>
    </row>
    <row r="26" spans="1:16" ht="14.5" customHeight="1">
      <c r="A26" s="20"/>
      <c r="B26" s="38" t="s">
        <v>42</v>
      </c>
      <c r="C26" s="46" t="s">
        <v>37</v>
      </c>
      <c r="D26" s="40"/>
      <c r="E26" s="40"/>
      <c r="F26" s="41">
        <f>(D26+E26)/G26</f>
        <v>0</v>
      </c>
      <c r="G26" s="51">
        <v>3</v>
      </c>
      <c r="H26" s="43">
        <f>IFERROR((VLOOKUP(C26,Faktori!$B$4:$F$19,2,FALSE)),0)</f>
        <v>0.6</v>
      </c>
      <c r="I26" s="43">
        <f>IFERROR((VLOOKUP(C26,Faktori!$B$4:$F$18,3,FALSE)),0)</f>
        <v>0.8</v>
      </c>
      <c r="J26" s="44">
        <f>IFERROR((VLOOKUP(C26,Faktori!$B$4:$F$18,5,FALSE)),0)</f>
        <v>9.6000000000000002E-2</v>
      </c>
      <c r="K26" s="41">
        <f>IFERROR(F26*H26,"")</f>
        <v>0</v>
      </c>
      <c r="L26" s="41">
        <f>IFERROR(F26*I26,"")</f>
        <v>0</v>
      </c>
      <c r="M26" s="45">
        <f>IFERROR(K26+L26,0)</f>
        <v>0</v>
      </c>
      <c r="N26" s="41">
        <f>IFERROR(IF(F26="","",F26*J26),0)</f>
        <v>0</v>
      </c>
    </row>
    <row r="27" spans="1:16" ht="14.5" hidden="1" customHeight="1">
      <c r="A27" s="20"/>
      <c r="B27" s="116" t="s">
        <v>43</v>
      </c>
      <c r="C27" s="117"/>
      <c r="D27" s="117"/>
      <c r="E27" s="118"/>
      <c r="F27" s="41"/>
      <c r="G27" s="50"/>
      <c r="H27" s="43" t="str">
        <f>IF(F27="","",IF(C17="",-H15,-(F15/G15*H15+F17/G17*H17)/(F15/G15+F17/G17)))</f>
        <v/>
      </c>
      <c r="I27" s="52" t="str">
        <f>IFERROR(IF(F27="","",IF(C17="",1-I15,1-(F15/G15*I15+F17/G17*I17)/(F15/G15+F17/G17))),"")</f>
        <v/>
      </c>
      <c r="J27" s="44" t="str">
        <f>IFERROR(IF(F27="","",IF(C17="",-J15,-(F15/G15*J15+F17/G17*J17)/(F15/G15+F17/G17))),"")</f>
        <v/>
      </c>
      <c r="K27" s="41" t="str">
        <f>IFERROR(F27*H27,"")</f>
        <v/>
      </c>
      <c r="L27" s="41" t="str">
        <f>IFERROR(F27*I27,"")</f>
        <v/>
      </c>
      <c r="M27" s="41" t="str">
        <f t="shared" ref="M27" si="13">IFERROR(IF(F27="","",K27+L27),0)</f>
        <v/>
      </c>
      <c r="N27" s="41" t="str">
        <f t="shared" si="12"/>
        <v/>
      </c>
      <c r="O27" s="3">
        <v>0.14824999999999999</v>
      </c>
    </row>
    <row r="28" spans="1:16" ht="14.5" customHeight="1">
      <c r="A28" s="20"/>
      <c r="B28" s="116" t="s">
        <v>44</v>
      </c>
      <c r="C28" s="117"/>
      <c r="D28" s="117"/>
      <c r="E28" s="118"/>
      <c r="F28" s="40"/>
      <c r="G28" s="50"/>
      <c r="H28" s="43">
        <f>-H26</f>
        <v>-0.6</v>
      </c>
      <c r="I28" s="43">
        <f>-I26</f>
        <v>-0.8</v>
      </c>
      <c r="J28" s="44">
        <f>-J26</f>
        <v>-9.6000000000000002E-2</v>
      </c>
      <c r="K28" s="41">
        <f>IFERROR(F28*H28,"")</f>
        <v>0</v>
      </c>
      <c r="L28" s="41">
        <f>IFERROR(F28*I28,"")</f>
        <v>0</v>
      </c>
      <c r="M28" s="41">
        <f>IFERROR(IF(F28="",0,K28+L28),0)</f>
        <v>0</v>
      </c>
      <c r="N28" s="41">
        <f>IFERROR(IF(F28="",0,F28*J28),0)</f>
        <v>0</v>
      </c>
    </row>
    <row r="29" spans="1:16" s="4" customFormat="1">
      <c r="A29" s="20"/>
      <c r="B29" s="53"/>
      <c r="C29" s="54"/>
      <c r="D29" s="119" t="s">
        <v>45</v>
      </c>
      <c r="E29" s="119"/>
      <c r="F29" s="55">
        <f>SUM(F15:F28)</f>
        <v>0</v>
      </c>
      <c r="G29" s="110"/>
      <c r="H29" s="111"/>
      <c r="I29" s="111"/>
      <c r="J29" s="112"/>
      <c r="K29" s="56">
        <f>ROUND(SUM(K15:K28),0)</f>
        <v>0</v>
      </c>
      <c r="L29" s="56">
        <f t="shared" ref="L29:N29" si="14">ROUND(SUM(L15:L28),0)</f>
        <v>0</v>
      </c>
      <c r="M29" s="56">
        <f t="shared" si="14"/>
        <v>0</v>
      </c>
      <c r="N29" s="56">
        <f t="shared" si="14"/>
        <v>0</v>
      </c>
    </row>
    <row r="30" spans="1:16" ht="14.5" customHeight="1">
      <c r="A30" s="20"/>
      <c r="B30" s="57"/>
      <c r="C30" s="58"/>
      <c r="D30" s="59"/>
      <c r="E30" s="59"/>
      <c r="F30" s="60"/>
      <c r="G30" s="61"/>
      <c r="H30" s="57"/>
      <c r="I30" s="104"/>
      <c r="J30" s="104"/>
      <c r="K30" s="104"/>
      <c r="L30" s="104"/>
      <c r="M30" s="62"/>
      <c r="N30" s="63"/>
    </row>
    <row r="31" spans="1:16" ht="15.5">
      <c r="A31" s="20"/>
      <c r="B31" s="105" t="s">
        <v>46</v>
      </c>
      <c r="C31" s="106"/>
      <c r="D31" s="106"/>
      <c r="E31" s="106"/>
      <c r="F31" s="106"/>
      <c r="G31" s="106"/>
      <c r="H31" s="106"/>
      <c r="I31" s="106"/>
      <c r="J31" s="106"/>
      <c r="K31" s="106"/>
      <c r="L31" s="106"/>
      <c r="M31" s="106"/>
      <c r="N31" s="107"/>
    </row>
    <row r="32" spans="1:16" ht="14.15" customHeight="1">
      <c r="A32" s="20"/>
      <c r="B32" s="91" t="s">
        <v>18</v>
      </c>
      <c r="C32" s="92" t="s">
        <v>19</v>
      </c>
      <c r="D32" s="93" t="s">
        <v>20</v>
      </c>
      <c r="E32" s="94"/>
      <c r="F32" s="95"/>
      <c r="G32" s="85" t="s">
        <v>21</v>
      </c>
      <c r="H32" s="85" t="s">
        <v>22</v>
      </c>
      <c r="I32" s="85" t="s">
        <v>23</v>
      </c>
      <c r="J32" s="85" t="s">
        <v>24</v>
      </c>
      <c r="K32" s="88" t="s">
        <v>25</v>
      </c>
      <c r="L32" s="89"/>
      <c r="M32" s="89"/>
      <c r="N32" s="90"/>
    </row>
    <row r="33" spans="1:16" ht="36.65" customHeight="1">
      <c r="A33" s="20"/>
      <c r="B33" s="91"/>
      <c r="C33" s="92"/>
      <c r="D33" s="29" t="s">
        <v>26</v>
      </c>
      <c r="E33" s="29" t="s">
        <v>27</v>
      </c>
      <c r="F33" s="29" t="s">
        <v>28</v>
      </c>
      <c r="G33" s="86"/>
      <c r="H33" s="86"/>
      <c r="I33" s="86"/>
      <c r="J33" s="87"/>
      <c r="K33" s="29" t="s">
        <v>29</v>
      </c>
      <c r="L33" s="29" t="s">
        <v>30</v>
      </c>
      <c r="M33" s="32" t="s">
        <v>31</v>
      </c>
      <c r="N33" s="31" t="s">
        <v>32</v>
      </c>
    </row>
    <row r="34" spans="1:16">
      <c r="A34" s="20"/>
      <c r="B34" s="91"/>
      <c r="C34" s="92"/>
      <c r="D34" s="33" t="s">
        <v>33</v>
      </c>
      <c r="E34" s="33" t="s">
        <v>33</v>
      </c>
      <c r="F34" s="33" t="s">
        <v>33</v>
      </c>
      <c r="G34" s="87"/>
      <c r="H34" s="87"/>
      <c r="I34" s="87"/>
      <c r="J34" s="33" t="s">
        <v>34</v>
      </c>
      <c r="K34" s="30" t="s">
        <v>33</v>
      </c>
      <c r="L34" s="30" t="s">
        <v>33</v>
      </c>
      <c r="M34" s="34" t="s">
        <v>33</v>
      </c>
      <c r="N34" s="30" t="s">
        <v>35</v>
      </c>
    </row>
    <row r="35" spans="1:16" s="2" customFormat="1" ht="8">
      <c r="A35" s="35"/>
      <c r="B35" s="36">
        <v>1</v>
      </c>
      <c r="C35" s="33">
        <v>2</v>
      </c>
      <c r="D35" s="33">
        <v>3</v>
      </c>
      <c r="E35" s="33">
        <v>4</v>
      </c>
      <c r="F35" s="33">
        <v>5</v>
      </c>
      <c r="G35" s="37">
        <v>6</v>
      </c>
      <c r="H35" s="37">
        <v>7</v>
      </c>
      <c r="I35" s="33">
        <v>8</v>
      </c>
      <c r="J35" s="33">
        <v>9</v>
      </c>
      <c r="K35" s="37">
        <v>10</v>
      </c>
      <c r="L35" s="37">
        <v>11</v>
      </c>
      <c r="M35" s="37">
        <v>12</v>
      </c>
      <c r="N35" s="37">
        <v>13</v>
      </c>
    </row>
    <row r="36" spans="1:16">
      <c r="A36" s="20"/>
      <c r="B36" s="114" t="s">
        <v>36</v>
      </c>
      <c r="C36" s="39"/>
      <c r="D36" s="40"/>
      <c r="E36" s="40"/>
      <c r="F36" s="41">
        <f>D36+E36</f>
        <v>0</v>
      </c>
      <c r="G36" s="42"/>
      <c r="H36" s="43">
        <f>IFERROR((VLOOKUP(C36,Faktori!$B$4:$F$19,2,FALSE)),0)</f>
        <v>0</v>
      </c>
      <c r="I36" s="43">
        <f>IFERROR((VLOOKUP(C36,Faktori!$B$4:$F$18,3,FALSE)),0)</f>
        <v>0</v>
      </c>
      <c r="J36" s="44">
        <f>IFERROR((VLOOKUP(C36,Faktori!$B$4:$F$18,5,FALSE)),0)</f>
        <v>0</v>
      </c>
      <c r="K36" s="41" t="str">
        <f>IFERROR(F36/G36*H36,"")</f>
        <v/>
      </c>
      <c r="L36" s="41" t="str">
        <f>IFERROR(F36/G36*I36,"")</f>
        <v/>
      </c>
      <c r="M36" s="45">
        <f>IFERROR(K36+L36,0)</f>
        <v>0</v>
      </c>
      <c r="N36" s="41">
        <f>IFERROR(IF(F36="","",F36/G36*J36),0)</f>
        <v>0</v>
      </c>
      <c r="O36" s="1">
        <f>IF(F36&gt;0,1,0)</f>
        <v>0</v>
      </c>
      <c r="P36" s="1">
        <f>IF(C36="",0,IF(C36=Faktori!$B$13,1,0))</f>
        <v>0</v>
      </c>
    </row>
    <row r="37" spans="1:16">
      <c r="A37" s="20"/>
      <c r="B37" s="115"/>
      <c r="C37" s="39"/>
      <c r="D37" s="40"/>
      <c r="E37" s="40"/>
      <c r="F37" s="41">
        <f>D37+E37</f>
        <v>0</v>
      </c>
      <c r="G37" s="42"/>
      <c r="H37" s="43">
        <f>IFERROR((VLOOKUP(C37,Faktori!$B$4:$F$19,2,FALSE)),0)</f>
        <v>0</v>
      </c>
      <c r="I37" s="43">
        <f>IFERROR((VLOOKUP(C37,Faktori!$B$4:$F$18,3,FALSE)),0)</f>
        <v>0</v>
      </c>
      <c r="J37" s="44">
        <f>IFERROR((VLOOKUP(C37,Faktori!$B$4:$F$18,5,FALSE)),0)</f>
        <v>0</v>
      </c>
      <c r="K37" s="41">
        <f>IFERROR(F37/G37*H37,)</f>
        <v>0</v>
      </c>
      <c r="L37" s="41">
        <f>IFERROR(F37/G37*I37,0)</f>
        <v>0</v>
      </c>
      <c r="M37" s="45">
        <f t="shared" ref="M37:M46" si="15">IFERROR(K37+L37,0)</f>
        <v>0</v>
      </c>
      <c r="N37" s="41">
        <f t="shared" ref="N37:N38" si="16">IFERROR(IF(F37="","",F37/G37*J37),0)</f>
        <v>0</v>
      </c>
      <c r="O37" s="1">
        <f t="shared" ref="O37:O42" si="17">IF(F37&gt;0,1,0)</f>
        <v>0</v>
      </c>
      <c r="P37" s="1">
        <f>IF(C37="",0,IF(C37=Faktori!$B$13,1,0))</f>
        <v>0</v>
      </c>
    </row>
    <row r="38" spans="1:16">
      <c r="A38" s="20"/>
      <c r="B38" s="115"/>
      <c r="C38" s="39"/>
      <c r="D38" s="40"/>
      <c r="E38" s="40"/>
      <c r="F38" s="41">
        <f t="shared" ref="F38:F46" si="18">D38+E38</f>
        <v>0</v>
      </c>
      <c r="G38" s="42"/>
      <c r="H38" s="43">
        <f>IFERROR((VLOOKUP(C38,Faktori!$B$4:$F$19,2,FALSE)),0)</f>
        <v>0</v>
      </c>
      <c r="I38" s="43">
        <f>IFERROR((VLOOKUP(C38,Faktori!$B$4:$F$18,3,FALSE)),0)</f>
        <v>0</v>
      </c>
      <c r="J38" s="44">
        <f>IFERROR((VLOOKUP(C38,Faktori!$B$4:$F$18,5,FALSE)),0)</f>
        <v>0</v>
      </c>
      <c r="K38" s="41">
        <f>IFERROR(F38/G38*H38,)</f>
        <v>0</v>
      </c>
      <c r="L38" s="41">
        <f>IFERROR(F38/G38*I38,0)</f>
        <v>0</v>
      </c>
      <c r="M38" s="45">
        <f t="shared" si="15"/>
        <v>0</v>
      </c>
      <c r="N38" s="41">
        <f t="shared" si="16"/>
        <v>0</v>
      </c>
      <c r="O38" s="1">
        <f t="shared" si="17"/>
        <v>0</v>
      </c>
      <c r="P38" s="1">
        <f>IF(C38="",0,IF(C38=Faktori!$B$13,1,0))</f>
        <v>0</v>
      </c>
    </row>
    <row r="39" spans="1:16">
      <c r="A39" s="20"/>
      <c r="B39" s="115"/>
      <c r="C39" s="46" t="s">
        <v>37</v>
      </c>
      <c r="D39" s="40"/>
      <c r="E39" s="40"/>
      <c r="F39" s="41">
        <f t="shared" si="18"/>
        <v>0</v>
      </c>
      <c r="G39" s="47"/>
      <c r="H39" s="43">
        <f>IFERROR((VLOOKUP(C39,Faktori!$B$4:$F$19,2,FALSE)),0)</f>
        <v>0.6</v>
      </c>
      <c r="I39" s="43">
        <f>IFERROR((VLOOKUP(C39,Faktori!$B$4:$F$18,3,FALSE)),0)</f>
        <v>0.8</v>
      </c>
      <c r="J39" s="44">
        <f>IFERROR((VLOOKUP(C39,Faktori!$B$4:$F$18,5,FALSE)),0)</f>
        <v>9.6000000000000002E-2</v>
      </c>
      <c r="K39" s="41">
        <f>IFERROR(F39*H39,"")</f>
        <v>0</v>
      </c>
      <c r="L39" s="41">
        <f>IFERROR(F39*I39,"")</f>
        <v>0</v>
      </c>
      <c r="M39" s="45">
        <f t="shared" si="15"/>
        <v>0</v>
      </c>
      <c r="N39" s="41">
        <f>IFERROR(IF(F39="","",F39*J39),0)</f>
        <v>0</v>
      </c>
      <c r="O39" s="1">
        <f t="shared" si="17"/>
        <v>0</v>
      </c>
    </row>
    <row r="40" spans="1:16">
      <c r="A40" s="20"/>
      <c r="B40" s="115"/>
      <c r="C40" s="46" t="s">
        <v>38</v>
      </c>
      <c r="D40" s="40"/>
      <c r="E40" s="40"/>
      <c r="F40" s="41">
        <f t="shared" si="18"/>
        <v>0</v>
      </c>
      <c r="G40" s="47"/>
      <c r="H40" s="41">
        <f>IFERROR((VLOOKUP(C40,Faktori!$B$4:$F$19,2,FALSE)),0)</f>
        <v>0</v>
      </c>
      <c r="I40" s="41">
        <f>IFERROR((VLOOKUP(C40,Faktori!$B$4:$F$18,3,FALSE)),0)</f>
        <v>0</v>
      </c>
      <c r="J40" s="41">
        <f>IFERROR((VLOOKUP(C40,Faktori!$B$4:$F$18,5,FALSE)),0)</f>
        <v>0</v>
      </c>
      <c r="K40" s="41">
        <f>IFERROR(F40*H40,"")</f>
        <v>0</v>
      </c>
      <c r="L40" s="41">
        <f>IFERROR(F40*I40,"")</f>
        <v>0</v>
      </c>
      <c r="M40" s="45">
        <f t="shared" si="15"/>
        <v>0</v>
      </c>
      <c r="N40" s="41">
        <f>IFERROR(IF(F40="","",F40*J40),0)</f>
        <v>0</v>
      </c>
      <c r="O40" s="1">
        <f t="shared" si="17"/>
        <v>0</v>
      </c>
    </row>
    <row r="41" spans="1:16" ht="14.15" customHeight="1">
      <c r="A41" s="20"/>
      <c r="B41" s="123" t="s">
        <v>39</v>
      </c>
      <c r="C41" s="39"/>
      <c r="D41" s="40"/>
      <c r="E41" s="40"/>
      <c r="F41" s="41">
        <f t="shared" si="18"/>
        <v>0</v>
      </c>
      <c r="G41" s="49"/>
      <c r="H41" s="43">
        <f>IFERROR((VLOOKUP(C41,Faktori!$B$4:$F$19,2,FALSE)),0)</f>
        <v>0</v>
      </c>
      <c r="I41" s="43">
        <f>IFERROR((VLOOKUP(C41,Faktori!$B$4:$F$18,3,FALSE)),0)</f>
        <v>0</v>
      </c>
      <c r="J41" s="44">
        <f>IFERROR((VLOOKUP(C41,Faktori!$B$4:$F$18,5,FALSE)),0)</f>
        <v>0</v>
      </c>
      <c r="K41" s="41">
        <f>IFERROR(F41/G41*H41,0)</f>
        <v>0</v>
      </c>
      <c r="L41" s="41">
        <f>IFERROR(F41/G41*I41,0)</f>
        <v>0</v>
      </c>
      <c r="M41" s="45">
        <f t="shared" si="15"/>
        <v>0</v>
      </c>
      <c r="N41" s="41">
        <f t="shared" ref="N41:N42" si="19">IFERROR(IF(F41="","",F41/G41*J41),0)</f>
        <v>0</v>
      </c>
      <c r="O41" s="1">
        <f t="shared" si="17"/>
        <v>0</v>
      </c>
      <c r="P41" s="1">
        <f>IF(C41="",0,IF(C41=Faktori!$B$13,1,0))</f>
        <v>0</v>
      </c>
    </row>
    <row r="42" spans="1:16">
      <c r="A42" s="20"/>
      <c r="B42" s="124"/>
      <c r="C42" s="39"/>
      <c r="D42" s="40"/>
      <c r="E42" s="40"/>
      <c r="F42" s="41">
        <f t="shared" si="18"/>
        <v>0</v>
      </c>
      <c r="G42" s="49"/>
      <c r="H42" s="43">
        <f>IFERROR((VLOOKUP(C42,Faktori!$B$4:$F$19,2,FALSE)),0)</f>
        <v>0</v>
      </c>
      <c r="I42" s="43">
        <f>IFERROR((VLOOKUP(C42,Faktori!$B$4:$F$18,3,FALSE)),0)</f>
        <v>0</v>
      </c>
      <c r="J42" s="44">
        <f>IFERROR((VLOOKUP(C42,Faktori!$B$4:$F$18,5,FALSE)),0)</f>
        <v>0</v>
      </c>
      <c r="K42" s="41">
        <f>IFERROR(F42/G42*H42,0)</f>
        <v>0</v>
      </c>
      <c r="L42" s="41">
        <f>IFERROR(F42/G42*I42,0)</f>
        <v>0</v>
      </c>
      <c r="M42" s="45">
        <f t="shared" si="15"/>
        <v>0</v>
      </c>
      <c r="N42" s="41">
        <f t="shared" si="19"/>
        <v>0</v>
      </c>
      <c r="O42" s="1">
        <f t="shared" si="17"/>
        <v>0</v>
      </c>
      <c r="P42" s="1">
        <f>IF(C42="",0,IF(C42=Faktori!$B$13,1,0))</f>
        <v>0</v>
      </c>
    </row>
    <row r="43" spans="1:16">
      <c r="A43" s="20"/>
      <c r="B43" s="124"/>
      <c r="C43" s="46" t="str">
        <f>C39</f>
        <v>elektroenerģija no tīkla</v>
      </c>
      <c r="D43" s="40"/>
      <c r="E43" s="40"/>
      <c r="F43" s="41">
        <f>D43+E43</f>
        <v>0</v>
      </c>
      <c r="G43" s="50"/>
      <c r="H43" s="43">
        <f>IFERROR((VLOOKUP(C43,Faktori!$B$4:$F$19,2,FALSE)),0)</f>
        <v>0.6</v>
      </c>
      <c r="I43" s="43">
        <f>IFERROR((VLOOKUP(C43,Faktori!$B$4:$F$18,3,FALSE)),0)</f>
        <v>0.8</v>
      </c>
      <c r="J43" s="44">
        <f>IFERROR((VLOOKUP(C43,Faktori!$B$4:$F$18,5,FALSE)),0)</f>
        <v>9.6000000000000002E-2</v>
      </c>
      <c r="K43" s="41">
        <f>IFERROR(F43*H43,"")</f>
        <v>0</v>
      </c>
      <c r="L43" s="41">
        <f>IFERROR(F43*I43,"")</f>
        <v>0</v>
      </c>
      <c r="M43" s="45">
        <f t="shared" si="15"/>
        <v>0</v>
      </c>
      <c r="N43" s="41">
        <f>IFERROR(IF(F43="","",F43*J43),0)</f>
        <v>0</v>
      </c>
    </row>
    <row r="44" spans="1:16">
      <c r="A44" s="20"/>
      <c r="B44" s="124"/>
      <c r="C44" s="46" t="s">
        <v>38</v>
      </c>
      <c r="D44" s="40"/>
      <c r="E44" s="40"/>
      <c r="F44" s="41">
        <f t="shared" si="18"/>
        <v>0</v>
      </c>
      <c r="G44" s="50"/>
      <c r="H44" s="41">
        <f>IFERROR((VLOOKUP(C44,Faktori!$B$4:$F$19,2,FALSE)),0)</f>
        <v>0</v>
      </c>
      <c r="I44" s="41">
        <f>IFERROR((VLOOKUP(C44,Faktori!$B$4:$F$18,3,FALSE)),0)</f>
        <v>0</v>
      </c>
      <c r="J44" s="41">
        <f>IFERROR((VLOOKUP(C44,Faktori!$B$4:$F$18,5,FALSE)),0)</f>
        <v>0</v>
      </c>
      <c r="K44" s="41">
        <f>IFERROR(F44*H44,"")</f>
        <v>0</v>
      </c>
      <c r="L44" s="41">
        <f>IFERROR(F44*I44,"")</f>
        <v>0</v>
      </c>
      <c r="M44" s="45">
        <f t="shared" si="15"/>
        <v>0</v>
      </c>
      <c r="N44" s="41">
        <f>IFERROR(IF(F44="","",F44*J44),0)</f>
        <v>0</v>
      </c>
    </row>
    <row r="45" spans="1:16" ht="14.5" customHeight="1">
      <c r="A45" s="20"/>
      <c r="B45" s="48" t="s">
        <v>40</v>
      </c>
      <c r="C45" s="46" t="s">
        <v>37</v>
      </c>
      <c r="D45" s="40"/>
      <c r="E45" s="40"/>
      <c r="F45" s="41">
        <f t="shared" si="18"/>
        <v>0</v>
      </c>
      <c r="G45" s="50"/>
      <c r="H45" s="43">
        <f>IFERROR((VLOOKUP(C45,Faktori!$B$4:$F$19,2,FALSE)),0)</f>
        <v>0.6</v>
      </c>
      <c r="I45" s="43">
        <f>IFERROR((VLOOKUP(C45,Faktori!$B$4:$F$18,3,FALSE)),0)</f>
        <v>0.8</v>
      </c>
      <c r="J45" s="44">
        <f>IFERROR((VLOOKUP(C45,Faktori!$B$4:$F$18,5,FALSE)),0)</f>
        <v>9.6000000000000002E-2</v>
      </c>
      <c r="K45" s="41">
        <f t="shared" ref="K45:K46" si="20">IFERROR(F45*H45,"")</f>
        <v>0</v>
      </c>
      <c r="L45" s="41">
        <f t="shared" ref="L45:L46" si="21">IFERROR(F45*I45,"")</f>
        <v>0</v>
      </c>
      <c r="M45" s="45">
        <f t="shared" si="15"/>
        <v>0</v>
      </c>
      <c r="N45" s="41">
        <f t="shared" ref="N45:N46" si="22">IFERROR(IF(F45="","",F45*J45),0)</f>
        <v>0</v>
      </c>
    </row>
    <row r="46" spans="1:16" ht="14.5" customHeight="1">
      <c r="A46" s="20"/>
      <c r="B46" s="48" t="s">
        <v>41</v>
      </c>
      <c r="C46" s="46" t="s">
        <v>37</v>
      </c>
      <c r="D46" s="40"/>
      <c r="E46" s="40"/>
      <c r="F46" s="41">
        <f t="shared" si="18"/>
        <v>0</v>
      </c>
      <c r="G46" s="50"/>
      <c r="H46" s="43">
        <f>IFERROR((VLOOKUP(C46,Faktori!$B$4:$F$19,2,FALSE)),0)</f>
        <v>0.6</v>
      </c>
      <c r="I46" s="43">
        <f>IFERROR((VLOOKUP(C46,Faktori!$B$4:$F$18,3,FALSE)),0)</f>
        <v>0.8</v>
      </c>
      <c r="J46" s="44">
        <f>IFERROR((VLOOKUP(C46,Faktori!$B$4:$F$18,5,FALSE)),0)</f>
        <v>9.6000000000000002E-2</v>
      </c>
      <c r="K46" s="41">
        <f t="shared" si="20"/>
        <v>0</v>
      </c>
      <c r="L46" s="41">
        <f t="shared" si="21"/>
        <v>0</v>
      </c>
      <c r="M46" s="45">
        <f t="shared" si="15"/>
        <v>0</v>
      </c>
      <c r="N46" s="41">
        <f t="shared" si="22"/>
        <v>0</v>
      </c>
    </row>
    <row r="47" spans="1:16" ht="14.5" customHeight="1">
      <c r="A47" s="20"/>
      <c r="B47" s="38" t="s">
        <v>42</v>
      </c>
      <c r="C47" s="46" t="s">
        <v>37</v>
      </c>
      <c r="D47" s="40"/>
      <c r="E47" s="40"/>
      <c r="F47" s="41">
        <f>(D47+E47)/G47</f>
        <v>0</v>
      </c>
      <c r="G47" s="51">
        <v>3</v>
      </c>
      <c r="H47" s="43">
        <f>IFERROR((VLOOKUP(C47,Faktori!$B$4:$F$19,2,FALSE)),0)</f>
        <v>0.6</v>
      </c>
      <c r="I47" s="43">
        <f>IFERROR((VLOOKUP(C47,Faktori!$B$4:$F$18,3,FALSE)),0)</f>
        <v>0.8</v>
      </c>
      <c r="J47" s="44">
        <f>IFERROR((VLOOKUP(C47,Faktori!$B$4:$F$18,5,FALSE)),0)</f>
        <v>9.6000000000000002E-2</v>
      </c>
      <c r="K47" s="41">
        <f>IFERROR(F47*H47,"")</f>
        <v>0</v>
      </c>
      <c r="L47" s="41">
        <f>IFERROR(F47*I47,"")</f>
        <v>0</v>
      </c>
      <c r="M47" s="45">
        <f>IFERROR(K47+L47,0)</f>
        <v>0</v>
      </c>
      <c r="N47" s="41">
        <f>IFERROR(IF(F47="","",F47*J47),0)</f>
        <v>0</v>
      </c>
    </row>
    <row r="48" spans="1:16" ht="14.5" customHeight="1">
      <c r="A48" s="20"/>
      <c r="B48" s="116" t="s">
        <v>44</v>
      </c>
      <c r="C48" s="117"/>
      <c r="D48" s="117"/>
      <c r="E48" s="118"/>
      <c r="F48" s="40"/>
      <c r="G48" s="50"/>
      <c r="H48" s="43">
        <f>-H47</f>
        <v>-0.6</v>
      </c>
      <c r="I48" s="43">
        <f>-I47</f>
        <v>-0.8</v>
      </c>
      <c r="J48" s="44">
        <f>-J47</f>
        <v>-9.6000000000000002E-2</v>
      </c>
      <c r="K48" s="41">
        <f>IFERROR(F48*H48,"")</f>
        <v>0</v>
      </c>
      <c r="L48" s="41">
        <f>IFERROR(F48*I48,"")</f>
        <v>0</v>
      </c>
      <c r="M48" s="41">
        <f>IFERROR(IF(F48="",0,K48+L48),0)</f>
        <v>0</v>
      </c>
      <c r="N48" s="41">
        <f>IFERROR(IF(F48="",0,F48*J48),0)</f>
        <v>0</v>
      </c>
    </row>
    <row r="49" spans="1:14" s="4" customFormat="1">
      <c r="A49" s="20"/>
      <c r="B49" s="53"/>
      <c r="C49" s="54"/>
      <c r="D49" s="119" t="s">
        <v>45</v>
      </c>
      <c r="E49" s="119"/>
      <c r="F49" s="55">
        <f>SUM(F36:F48)</f>
        <v>0</v>
      </c>
      <c r="G49" s="110"/>
      <c r="H49" s="111"/>
      <c r="I49" s="111"/>
      <c r="J49" s="112"/>
      <c r="K49" s="56">
        <f>ROUND(SUM(K36:K48),0)</f>
        <v>0</v>
      </c>
      <c r="L49" s="56">
        <f t="shared" ref="L49:N49" si="23">ROUND(SUM(L36:L48),0)</f>
        <v>0</v>
      </c>
      <c r="M49" s="56">
        <f t="shared" si="23"/>
        <v>0</v>
      </c>
      <c r="N49" s="56">
        <f t="shared" si="23"/>
        <v>0</v>
      </c>
    </row>
    <row r="50" spans="1:14" s="4" customFormat="1">
      <c r="A50" s="20"/>
      <c r="B50" s="53"/>
      <c r="C50" s="54"/>
      <c r="D50" s="66"/>
      <c r="E50" s="66"/>
      <c r="F50" s="67"/>
      <c r="G50" s="68"/>
      <c r="H50" s="68"/>
      <c r="I50" s="68"/>
      <c r="J50" s="68"/>
      <c r="K50" s="69"/>
      <c r="L50" s="69"/>
      <c r="M50" s="69"/>
      <c r="N50" s="69"/>
    </row>
    <row r="51" spans="1:14" s="4" customFormat="1">
      <c r="A51" s="20"/>
      <c r="B51" s="53"/>
      <c r="C51" s="54"/>
      <c r="D51" s="66"/>
      <c r="E51" s="66"/>
      <c r="F51" s="67"/>
      <c r="G51" s="68"/>
      <c r="H51" s="68"/>
      <c r="I51" s="68"/>
      <c r="J51" s="68"/>
      <c r="K51" s="70"/>
      <c r="L51" s="70"/>
      <c r="M51" s="70"/>
      <c r="N51" s="70"/>
    </row>
    <row r="52" spans="1:14" s="4" customFormat="1" ht="14.5">
      <c r="A52" s="20"/>
      <c r="B52" s="71" t="s">
        <v>71</v>
      </c>
      <c r="C52" s="54"/>
      <c r="D52" s="66"/>
      <c r="E52" s="66"/>
      <c r="F52" s="67"/>
      <c r="G52" s="68"/>
      <c r="H52" s="68"/>
      <c r="I52" s="68"/>
      <c r="J52" s="68"/>
      <c r="K52" s="70"/>
      <c r="L52" s="77" t="s">
        <v>47</v>
      </c>
      <c r="M52" s="78"/>
      <c r="N52" s="78"/>
    </row>
    <row r="53" spans="1:14" s="4" customFormat="1" ht="54" customHeight="1">
      <c r="A53" s="20"/>
      <c r="B53" s="40" t="s">
        <v>48</v>
      </c>
      <c r="C53" s="80" t="s">
        <v>49</v>
      </c>
      <c r="D53" s="81"/>
      <c r="E53" s="81"/>
      <c r="F53" s="82"/>
      <c r="G53" s="82"/>
      <c r="H53" s="82"/>
      <c r="I53" s="82"/>
      <c r="J53" s="82"/>
      <c r="K53" s="83"/>
      <c r="L53" s="79"/>
      <c r="M53" s="79"/>
      <c r="N53" s="79"/>
    </row>
    <row r="54" spans="1:14" s="4" customFormat="1" ht="27" customHeight="1">
      <c r="A54" s="20"/>
      <c r="B54" s="40" t="s">
        <v>48</v>
      </c>
      <c r="C54" s="72" t="s">
        <v>72</v>
      </c>
      <c r="D54" s="73"/>
      <c r="E54" s="73"/>
      <c r="F54" s="73"/>
      <c r="G54" s="73"/>
      <c r="H54" s="73"/>
      <c r="I54" s="73"/>
      <c r="J54" s="73"/>
      <c r="K54" s="73"/>
      <c r="L54" s="74"/>
      <c r="M54" s="75"/>
      <c r="N54" s="76"/>
    </row>
    <row r="55" spans="1:14" s="4" customFormat="1" ht="42" customHeight="1">
      <c r="A55" s="20"/>
      <c r="B55" s="40" t="s">
        <v>48</v>
      </c>
      <c r="C55" s="72" t="s">
        <v>73</v>
      </c>
      <c r="D55" s="73"/>
      <c r="E55" s="73"/>
      <c r="F55" s="73"/>
      <c r="G55" s="73"/>
      <c r="H55" s="73"/>
      <c r="I55" s="73"/>
      <c r="J55" s="73"/>
      <c r="K55" s="73"/>
      <c r="L55" s="74"/>
      <c r="M55" s="75"/>
      <c r="N55" s="76"/>
    </row>
    <row r="56" spans="1:14">
      <c r="A56" s="20"/>
      <c r="B56" s="20"/>
      <c r="C56" s="20"/>
      <c r="D56" s="20"/>
      <c r="E56" s="20"/>
      <c r="F56" s="20"/>
      <c r="G56" s="64"/>
      <c r="H56" s="64"/>
      <c r="I56" s="64"/>
      <c r="J56" s="64"/>
      <c r="K56" s="64"/>
      <c r="L56" s="64"/>
      <c r="M56" s="64"/>
      <c r="N56" s="64"/>
    </row>
    <row r="57" spans="1:14">
      <c r="A57" s="20"/>
      <c r="B57" s="65"/>
      <c r="C57" s="20"/>
      <c r="D57" s="20" t="s">
        <v>50</v>
      </c>
      <c r="E57" s="20"/>
      <c r="F57" s="20"/>
      <c r="G57" s="64"/>
      <c r="H57" s="64"/>
      <c r="I57" s="113"/>
      <c r="J57" s="113"/>
      <c r="K57" s="113"/>
      <c r="L57" s="102"/>
      <c r="M57" s="102"/>
      <c r="N57" s="102"/>
    </row>
    <row r="58" spans="1:14">
      <c r="A58" s="20"/>
      <c r="B58" s="20"/>
      <c r="C58" s="20"/>
      <c r="D58" s="20"/>
      <c r="E58" s="20"/>
      <c r="F58" s="20"/>
      <c r="G58" s="64"/>
      <c r="H58" s="64"/>
      <c r="I58" s="64"/>
      <c r="J58" s="64"/>
      <c r="K58" s="64"/>
      <c r="L58" s="64"/>
      <c r="M58" s="64"/>
      <c r="N58" s="64"/>
    </row>
  </sheetData>
  <mergeCells count="53">
    <mergeCell ref="B48:E48"/>
    <mergeCell ref="D49:E49"/>
    <mergeCell ref="G49:J49"/>
    <mergeCell ref="D8:E8"/>
    <mergeCell ref="B3:N3"/>
    <mergeCell ref="I32:I34"/>
    <mergeCell ref="J32:J33"/>
    <mergeCell ref="K32:N32"/>
    <mergeCell ref="B36:B40"/>
    <mergeCell ref="B41:B44"/>
    <mergeCell ref="B20:B23"/>
    <mergeCell ref="B27:E27"/>
    <mergeCell ref="B28:E28"/>
    <mergeCell ref="D29:E29"/>
    <mergeCell ref="B10:N10"/>
    <mergeCell ref="B9:N9"/>
    <mergeCell ref="L57:N57"/>
    <mergeCell ref="B2:N2"/>
    <mergeCell ref="I30:L30"/>
    <mergeCell ref="B31:N31"/>
    <mergeCell ref="B32:B34"/>
    <mergeCell ref="C32:C34"/>
    <mergeCell ref="D32:F32"/>
    <mergeCell ref="G32:G34"/>
    <mergeCell ref="H32:H34"/>
    <mergeCell ref="C5:K5"/>
    <mergeCell ref="L5:M5"/>
    <mergeCell ref="C6:K6"/>
    <mergeCell ref="L6:M6"/>
    <mergeCell ref="G29:J29"/>
    <mergeCell ref="I57:K57"/>
    <mergeCell ref="B15:B19"/>
    <mergeCell ref="J1:N1"/>
    <mergeCell ref="I11:I13"/>
    <mergeCell ref="J11:J12"/>
    <mergeCell ref="K11:N11"/>
    <mergeCell ref="B11:B13"/>
    <mergeCell ref="C11:C13"/>
    <mergeCell ref="D11:F11"/>
    <mergeCell ref="G11:G13"/>
    <mergeCell ref="H11:H13"/>
    <mergeCell ref="C7:K7"/>
    <mergeCell ref="L7:M7"/>
    <mergeCell ref="C4:K4"/>
    <mergeCell ref="L4:M4"/>
    <mergeCell ref="L8:M8"/>
    <mergeCell ref="C54:K54"/>
    <mergeCell ref="L54:N54"/>
    <mergeCell ref="C55:K55"/>
    <mergeCell ref="L55:N55"/>
    <mergeCell ref="L52:N52"/>
    <mergeCell ref="L53:N53"/>
    <mergeCell ref="C53:K53"/>
  </mergeCells>
  <conditionalFormatting sqref="G15">
    <cfRule type="expression" dxfId="26" priority="38">
      <formula>$O$15=1</formula>
    </cfRule>
  </conditionalFormatting>
  <conditionalFormatting sqref="G16">
    <cfRule type="expression" dxfId="25" priority="37">
      <formula>$O$16=1</formula>
    </cfRule>
  </conditionalFormatting>
  <conditionalFormatting sqref="G17">
    <cfRule type="expression" dxfId="24" priority="36">
      <formula>$O$17=1</formula>
    </cfRule>
  </conditionalFormatting>
  <conditionalFormatting sqref="G20">
    <cfRule type="expression" dxfId="23" priority="29">
      <formula>$O$20=1</formula>
    </cfRule>
  </conditionalFormatting>
  <conditionalFormatting sqref="G21">
    <cfRule type="expression" dxfId="22" priority="28">
      <formula>$O$21=1</formula>
    </cfRule>
  </conditionalFormatting>
  <conditionalFormatting sqref="G36">
    <cfRule type="expression" dxfId="21" priority="17">
      <formula>$O$36=1</formula>
    </cfRule>
  </conditionalFormatting>
  <conditionalFormatting sqref="G37">
    <cfRule type="expression" dxfId="20" priority="16">
      <formula>$O$37=1</formula>
    </cfRule>
  </conditionalFormatting>
  <conditionalFormatting sqref="G38">
    <cfRule type="expression" dxfId="19" priority="15">
      <formula>$O$38=1</formula>
    </cfRule>
  </conditionalFormatting>
  <conditionalFormatting sqref="G41">
    <cfRule type="expression" dxfId="18" priority="8">
      <formula>$O$41=1</formula>
    </cfRule>
  </conditionalFormatting>
  <conditionalFormatting sqref="G42">
    <cfRule type="expression" dxfId="17" priority="7">
      <formula>$O$42=1</formula>
    </cfRule>
  </conditionalFormatting>
  <conditionalFormatting sqref="H15">
    <cfRule type="expression" dxfId="16" priority="41">
      <formula>$P$15=1</formula>
    </cfRule>
  </conditionalFormatting>
  <conditionalFormatting sqref="H20:H21">
    <cfRule type="expression" dxfId="15" priority="26">
      <formula>$P$20=1</formula>
    </cfRule>
  </conditionalFormatting>
  <conditionalFormatting sqref="H22">
    <cfRule type="expression" dxfId="14" priority="42">
      <formula>P23=1</formula>
    </cfRule>
  </conditionalFormatting>
  <conditionalFormatting sqref="H36">
    <cfRule type="expression" dxfId="13" priority="20">
      <formula>$P$36=1</formula>
    </cfRule>
  </conditionalFormatting>
  <conditionalFormatting sqref="H43">
    <cfRule type="expression" dxfId="12" priority="21">
      <formula>P44=1</formula>
    </cfRule>
  </conditionalFormatting>
  <conditionalFormatting sqref="H16:J16">
    <cfRule type="expression" dxfId="11" priority="31">
      <formula>$P$16=1</formula>
    </cfRule>
  </conditionalFormatting>
  <conditionalFormatting sqref="H17:J17">
    <cfRule type="expression" dxfId="10" priority="30">
      <formula>$P$17=1</formula>
    </cfRule>
  </conditionalFormatting>
  <conditionalFormatting sqref="H37:J37">
    <cfRule type="expression" dxfId="9" priority="10">
      <formula>$P$37=1</formula>
    </cfRule>
  </conditionalFormatting>
  <conditionalFormatting sqref="H38:J38">
    <cfRule type="expression" dxfId="8" priority="9">
      <formula>$P$38=1</formula>
    </cfRule>
  </conditionalFormatting>
  <conditionalFormatting sqref="H41:J41">
    <cfRule type="expression" dxfId="7" priority="2">
      <formula>$P$41=1</formula>
    </cfRule>
  </conditionalFormatting>
  <conditionalFormatting sqref="H42:J42">
    <cfRule type="expression" dxfId="6" priority="1">
      <formula>$P$42=1</formula>
    </cfRule>
  </conditionalFormatting>
  <conditionalFormatting sqref="I15">
    <cfRule type="expression" dxfId="5" priority="35">
      <formula>$P$15</formula>
    </cfRule>
  </conditionalFormatting>
  <conditionalFormatting sqref="I36">
    <cfRule type="expression" dxfId="4" priority="14">
      <formula>$P$36</formula>
    </cfRule>
  </conditionalFormatting>
  <conditionalFormatting sqref="I20:J20">
    <cfRule type="expression" dxfId="3" priority="23">
      <formula>$P$20=1</formula>
    </cfRule>
  </conditionalFormatting>
  <conditionalFormatting sqref="I21:J21">
    <cfRule type="expression" dxfId="2" priority="22">
      <formula>$P$21=1</formula>
    </cfRule>
  </conditionalFormatting>
  <conditionalFormatting sqref="J15">
    <cfRule type="expression" dxfId="1" priority="32">
      <formula>$P$15=1</formula>
    </cfRule>
  </conditionalFormatting>
  <conditionalFormatting sqref="J36">
    <cfRule type="expression" dxfId="0" priority="11">
      <formula>$P$36=1</formula>
    </cfRule>
  </conditionalFormatting>
  <dataValidations count="3">
    <dataValidation type="list" allowBlank="1" showInputMessage="1" showErrorMessage="1" sqref="B54" xr:uid="{EAEB9FC1-9A89-4241-8161-D1532F7FC221}">
      <formula1>"Jā, Nē, N/A"</formula1>
    </dataValidation>
    <dataValidation type="list" allowBlank="1" showInputMessage="1" showErrorMessage="1" sqref="B55" xr:uid="{433DF40A-8104-4374-BC8A-D185C334EBC7}">
      <formula1>"Jā, Nē, "</formula1>
    </dataValidation>
    <dataValidation type="list" allowBlank="1" showInputMessage="1" showErrorMessage="1" sqref="B53" xr:uid="{0A0F648F-E421-4761-8824-B52CF6DD9E66}">
      <formula1>"Jā, Nē,"</formula1>
    </dataValidation>
  </dataValidations>
  <printOptions horizontalCentered="1" verticalCentered="1"/>
  <pageMargins left="0.11811023622047245" right="0.11811023622047245" top="0.15748031496062992" bottom="0.19685039370078741" header="0.31496062992125984" footer="0.31496062992125984"/>
  <pageSetup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F17E062-5C95-4768-909B-13AA26C26138}">
          <x14:formula1>
            <xm:f>Faktori!$B$4:$B$18</xm:f>
          </x14:formula1>
          <xm:sqref>C15:C18 C24:C26 C20:C21 C36:C39 C45:C47 C41:C42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BEBF-A118-4AF2-AF61-E23766D853BC}">
  <dimension ref="B2:F19"/>
  <sheetViews>
    <sheetView workbookViewId="0">
      <selection activeCell="F13" sqref="F13"/>
    </sheetView>
  </sheetViews>
  <sheetFormatPr defaultRowHeight="14.5"/>
  <cols>
    <col min="2" max="2" width="44" customWidth="1"/>
    <col min="3" max="3" width="13.453125" customWidth="1"/>
    <col min="4" max="4" width="11.81640625" customWidth="1"/>
    <col min="5" max="5" width="11.54296875" customWidth="1"/>
    <col min="6" max="6" width="12.1796875" customWidth="1"/>
  </cols>
  <sheetData>
    <row r="2" spans="2:6">
      <c r="B2" s="128"/>
      <c r="C2" s="129" t="s">
        <v>51</v>
      </c>
      <c r="D2" s="129" t="s">
        <v>52</v>
      </c>
      <c r="E2" s="129" t="s">
        <v>53</v>
      </c>
      <c r="F2" s="14" t="s">
        <v>54</v>
      </c>
    </row>
    <row r="3" spans="2:6">
      <c r="B3" s="128"/>
      <c r="C3" s="129"/>
      <c r="D3" s="129"/>
      <c r="E3" s="129"/>
      <c r="F3" s="15" t="s">
        <v>55</v>
      </c>
    </row>
    <row r="4" spans="2:6">
      <c r="B4" s="13" t="s">
        <v>56</v>
      </c>
      <c r="C4" s="5">
        <v>1.1000000000000001</v>
      </c>
      <c r="D4" s="5">
        <v>0</v>
      </c>
      <c r="E4" s="5">
        <v>1.1000000000000001</v>
      </c>
      <c r="F4" s="5">
        <v>0.35399999999999998</v>
      </c>
    </row>
    <row r="5" spans="2:6">
      <c r="B5" s="7" t="s">
        <v>57</v>
      </c>
      <c r="C5" s="6">
        <v>1.1000000000000001</v>
      </c>
      <c r="D5" s="6">
        <v>0</v>
      </c>
      <c r="E5" s="6">
        <v>1.1000000000000001</v>
      </c>
      <c r="F5" s="6" t="s">
        <v>58</v>
      </c>
    </row>
    <row r="6" spans="2:6">
      <c r="B6" s="7" t="s">
        <v>59</v>
      </c>
      <c r="C6" s="6">
        <v>1.1000000000000001</v>
      </c>
      <c r="D6" s="6">
        <v>0</v>
      </c>
      <c r="E6" s="6">
        <v>1.1000000000000001</v>
      </c>
      <c r="F6" s="6">
        <v>0.27900000000000003</v>
      </c>
    </row>
    <row r="7" spans="2:6">
      <c r="B7" s="7" t="s">
        <v>60</v>
      </c>
      <c r="C7" s="6">
        <v>1.1000000000000001</v>
      </c>
      <c r="D7" s="6">
        <v>0</v>
      </c>
      <c r="E7" s="6">
        <v>1.1000000000000001</v>
      </c>
      <c r="F7" s="6">
        <v>0.20200000000000001</v>
      </c>
    </row>
    <row r="8" spans="2:6">
      <c r="B8" s="7" t="s">
        <v>61</v>
      </c>
      <c r="C8" s="6">
        <v>1.1000000000000001</v>
      </c>
      <c r="D8" s="6">
        <v>0</v>
      </c>
      <c r="E8" s="6">
        <v>1.1000000000000001</v>
      </c>
      <c r="F8" s="6">
        <v>0.22700000000000001</v>
      </c>
    </row>
    <row r="9" spans="2:6">
      <c r="B9" s="8" t="s">
        <v>62</v>
      </c>
      <c r="C9" s="6">
        <v>0</v>
      </c>
      <c r="D9" s="6">
        <v>1.1000000000000001</v>
      </c>
      <c r="E9" s="6">
        <v>1.1000000000000001</v>
      </c>
      <c r="F9" s="6">
        <v>0</v>
      </c>
    </row>
    <row r="10" spans="2:6">
      <c r="B10" s="8" t="s">
        <v>63</v>
      </c>
      <c r="C10" s="6">
        <v>0.1</v>
      </c>
      <c r="D10" s="6">
        <v>1</v>
      </c>
      <c r="E10" s="6">
        <v>1.1000000000000001</v>
      </c>
      <c r="F10" s="6">
        <v>3.4000000000000002E-2</v>
      </c>
    </row>
    <row r="11" spans="2:6">
      <c r="B11" s="8" t="s">
        <v>64</v>
      </c>
      <c r="C11" s="6">
        <v>0</v>
      </c>
      <c r="D11" s="6">
        <v>1.1000000000000001</v>
      </c>
      <c r="E11" s="6">
        <v>1.1000000000000001</v>
      </c>
      <c r="F11" s="6">
        <v>0</v>
      </c>
    </row>
    <row r="12" spans="2:6" ht="14.5" customHeight="1">
      <c r="B12" s="9" t="s">
        <v>37</v>
      </c>
      <c r="C12" s="6">
        <v>0.6</v>
      </c>
      <c r="D12" s="6">
        <v>0.8</v>
      </c>
      <c r="E12" s="6">
        <v>1.4</v>
      </c>
      <c r="F12" s="6">
        <v>9.6000000000000002E-2</v>
      </c>
    </row>
    <row r="13" spans="2:6" ht="14.5" customHeight="1">
      <c r="B13" s="17" t="s">
        <v>65</v>
      </c>
      <c r="C13" s="16"/>
      <c r="D13" s="16"/>
      <c r="E13" s="19">
        <f>C13+D13</f>
        <v>0</v>
      </c>
      <c r="F13" s="16"/>
    </row>
    <row r="14" spans="2:6" ht="14.5" customHeight="1">
      <c r="B14" s="9" t="s">
        <v>66</v>
      </c>
      <c r="C14" s="6">
        <v>1.2</v>
      </c>
      <c r="D14" s="6">
        <v>0</v>
      </c>
      <c r="E14" s="6">
        <v>1.2</v>
      </c>
      <c r="F14" s="6">
        <v>0.24199999999999999</v>
      </c>
    </row>
    <row r="15" spans="2:6" ht="14.5" customHeight="1">
      <c r="B15" s="9" t="s">
        <v>67</v>
      </c>
      <c r="C15" s="6">
        <v>0</v>
      </c>
      <c r="D15" s="6">
        <v>1.2</v>
      </c>
      <c r="E15" s="6">
        <v>1.2</v>
      </c>
      <c r="F15" s="6">
        <v>0</v>
      </c>
    </row>
    <row r="16" spans="2:6" ht="14.5" customHeight="1">
      <c r="B16" s="9" t="s">
        <v>68</v>
      </c>
      <c r="C16" s="6">
        <v>0.4</v>
      </c>
      <c r="D16" s="6">
        <v>0.8</v>
      </c>
      <c r="E16" s="6">
        <v>1.2</v>
      </c>
      <c r="F16" s="6">
        <v>9.4E-2</v>
      </c>
    </row>
    <row r="17" spans="2:6">
      <c r="B17" s="8" t="s">
        <v>69</v>
      </c>
      <c r="C17" s="6">
        <v>0</v>
      </c>
      <c r="D17" s="6">
        <v>0</v>
      </c>
      <c r="E17" s="6">
        <v>0</v>
      </c>
      <c r="F17" s="6">
        <v>0</v>
      </c>
    </row>
    <row r="18" spans="2:6">
      <c r="B18" s="9" t="s">
        <v>70</v>
      </c>
      <c r="C18" s="6">
        <v>0</v>
      </c>
      <c r="D18" s="6">
        <v>0</v>
      </c>
      <c r="E18" s="6">
        <v>0</v>
      </c>
      <c r="F18" s="6">
        <v>0</v>
      </c>
    </row>
    <row r="19" spans="2:6">
      <c r="B19" s="9"/>
      <c r="C19" s="6">
        <v>0</v>
      </c>
      <c r="D19" s="6">
        <v>0</v>
      </c>
      <c r="E19" s="6">
        <v>0</v>
      </c>
      <c r="F19" s="6">
        <v>0</v>
      </c>
    </row>
  </sheetData>
  <mergeCells count="4">
    <mergeCell ref="B2:B3"/>
    <mergeCell ref="C2:C3"/>
    <mergeCell ref="D2:D3"/>
    <mergeCell ref="E2: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s xmlns="25a75a1d-8b78-49a6-8e4b-dbe94589a28d">2026-07-06T05:39:42+00:00</Datums>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8" ma:contentTypeDescription="Izveidot jaunu dokumentu." ma:contentTypeScope="" ma:versionID="3389ff0d8f09032fdc624906c10087e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cb742aedfe29e0f00d6e62d950beaf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element ref="ns2:Datu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ums" ma:index="24" nillable="true" ma:displayName="Datums" ma:default="[today]" ma:format="DateTime" ma:internalName="Datums">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E0BDC8-581B-41E3-AE58-9982D4964DE1}">
  <ds:schemaRefs>
    <ds:schemaRef ds:uri="http://schemas.microsoft.com/sharepoint/v3/contenttype/forms"/>
  </ds:schemaRefs>
</ds:datastoreItem>
</file>

<file path=customXml/itemProps2.xml><?xml version="1.0" encoding="utf-8"?>
<ds:datastoreItem xmlns:ds="http://schemas.openxmlformats.org/officeDocument/2006/customXml" ds:itemID="{F8A255D6-31C0-4369-B437-1BB5C1F7CC88}">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83E082DD-DA4B-460C-A856-AE92FFD1F68C}"/>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E-novertejums</vt:lpstr>
      <vt:lpstr>Faktori</vt:lpstr>
      <vt:lpstr>'E-novertejums'!Print_Area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Modris Laicāns</dc:creator>
  <cp:keywords/>
  <dc:description/>
  <cp:lastModifiedBy>Linda Broliša</cp:lastModifiedBy>
  <cp:revision/>
  <dcterms:created xsi:type="dcterms:W3CDTF">2026-07-03T05:22:22Z</dcterms:created>
  <dcterms:modified xsi:type="dcterms:W3CDTF">2026-07-13T12:24:41Z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