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1/IIA/"/>
    </mc:Choice>
  </mc:AlternateContent>
  <xr:revisionPtr revIDLastSave="281" documentId="8_{21BDDAAC-8E6D-42DA-BBFB-6CEB3415AC04}" xr6:coauthVersionLast="47" xr6:coauthVersionMax="47" xr10:uidLastSave="{96D342FE-1248-4D64-B96F-40BE983493B5}"/>
  <bookViews>
    <workbookView xWindow="15135" yWindow="0" windowWidth="36540" windowHeight="20985" tabRatio="795" firstSheet="25" activeTab="4"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r:id="rId23"/>
    <sheet name="11. DL 4.pielikums" sheetId="27" r:id="rId24"/>
    <sheet name="12. Kontroles lapa" sheetId="33" state="hidden" r:id="rId25"/>
    <sheet name="Pieņēmumi" sheetId="28" r:id="rId26"/>
  </sheets>
  <externalReferences>
    <externalReference r:id="rId27"/>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7" l="1"/>
  <c r="I69" i="28"/>
  <c r="H69" i="28"/>
  <c r="F9" i="19" s="1"/>
  <c r="I68" i="28"/>
  <c r="G65" i="28"/>
  <c r="G9" i="19" l="1"/>
  <c r="J68" i="28"/>
  <c r="J69" i="28" s="1"/>
  <c r="H9" i="19" s="1"/>
  <c r="K68" i="28" l="1"/>
  <c r="L68" i="28"/>
  <c r="K69" i="28"/>
  <c r="I9" i="19" s="1"/>
  <c r="M68" i="28" l="1"/>
  <c r="L69" i="28"/>
  <c r="J9" i="19" s="1"/>
  <c r="N68" i="28" l="1"/>
  <c r="M69" i="28"/>
  <c r="K9" i="19" s="1"/>
  <c r="N69" i="28" l="1"/>
  <c r="L9" i="19" s="1"/>
  <c r="O68" i="28"/>
  <c r="O69" i="28" l="1"/>
  <c r="M9" i="19" s="1"/>
  <c r="P68" i="28"/>
  <c r="Q68" i="28" l="1"/>
  <c r="P69" i="28"/>
  <c r="N9" i="19" s="1"/>
  <c r="R68" i="28" l="1"/>
  <c r="Q69" i="28"/>
  <c r="O9" i="19" s="1"/>
  <c r="S68" i="28" l="1"/>
  <c r="R69" i="28"/>
  <c r="P9" i="19" s="1"/>
  <c r="T68" i="28" l="1"/>
  <c r="S69" i="28"/>
  <c r="Q9" i="19" s="1"/>
  <c r="U68" i="28" l="1"/>
  <c r="T69" i="28"/>
  <c r="R9" i="19" s="1"/>
  <c r="V68" i="28" l="1"/>
  <c r="V69" i="28" s="1"/>
  <c r="T9" i="19" s="1"/>
  <c r="U69" i="28"/>
  <c r="S9" i="19" s="1"/>
  <c r="G69" i="28" l="1"/>
  <c r="L74" i="32" l="1"/>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L254" i="26"/>
  <c r="L222" i="26"/>
  <c r="L254" i="32"/>
  <c r="L222"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4" i="32"/>
  <c r="X138"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2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J160" i="32" l="1"/>
  <c r="D160" i="32"/>
  <c r="H160" i="32"/>
  <c r="L160" i="32"/>
  <c r="N160" i="32"/>
  <c r="P160" i="32"/>
  <c r="F160" i="32"/>
  <c r="B160" i="32"/>
  <c r="R160" i="32"/>
  <c r="F55" i="28"/>
  <c r="G22" i="18" s="1"/>
  <c r="G40" i="28"/>
  <c r="H39" i="28" s="1"/>
  <c r="AL53" i="28"/>
  <c r="N215" i="32"/>
  <c r="D215" i="32"/>
  <c r="F215" i="32"/>
  <c r="H215" i="32"/>
  <c r="P215" i="32"/>
  <c r="R215" i="32"/>
  <c r="B215" i="32"/>
  <c r="L215" i="32"/>
  <c r="J215" i="32"/>
  <c r="H208" i="32"/>
  <c r="B208" i="32"/>
  <c r="W90" i="32"/>
  <c r="W138" i="32"/>
  <c r="F110" i="32"/>
  <c r="B110" i="32"/>
  <c r="H110" i="32"/>
  <c r="L176" i="32"/>
  <c r="H176" i="32"/>
  <c r="F176" i="32"/>
  <c r="D176" i="32"/>
  <c r="N176" i="32"/>
  <c r="R176" i="32"/>
  <c r="P176" i="32"/>
  <c r="J176" i="32"/>
  <c r="B176" i="32"/>
  <c r="P110" i="32"/>
  <c r="N110" i="32"/>
  <c r="L110" i="32"/>
  <c r="J110" i="32"/>
  <c r="D110" i="32"/>
  <c r="R208" i="32"/>
  <c r="P208" i="32"/>
  <c r="N208" i="32"/>
  <c r="L208" i="32"/>
  <c r="F208" i="32"/>
  <c r="D208" i="32"/>
  <c r="J208" i="32"/>
  <c r="N94" i="32" l="1"/>
  <c r="P94" i="32"/>
  <c r="L94" i="32"/>
  <c r="R94" i="32"/>
  <c r="J94" i="32"/>
  <c r="D94" i="32"/>
  <c r="B94" i="32"/>
  <c r="F94" i="32"/>
  <c r="H94" i="32"/>
  <c r="G55" i="28"/>
  <c r="H22" i="18" s="1"/>
  <c r="AM52" i="28"/>
  <c r="AM51" i="28"/>
  <c r="AN50" i="28" s="1"/>
  <c r="T149" i="32"/>
  <c r="T150" i="32"/>
  <c r="P142" i="32"/>
  <c r="H142" i="32"/>
  <c r="L142" i="32"/>
  <c r="D142" i="32"/>
  <c r="N142" i="32"/>
  <c r="F142" i="32"/>
  <c r="R142" i="32"/>
  <c r="B142" i="32"/>
  <c r="J142" i="32"/>
  <c r="T176" i="32"/>
  <c r="T110" i="32"/>
  <c r="T20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2"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K8" i="19" s="1"/>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D21" i="20" s="1"/>
  <c r="F22" i="3"/>
  <c r="C21" i="20" s="1"/>
  <c r="G21" i="3"/>
  <c r="D20" i="20" s="1"/>
  <c r="F21" i="3"/>
  <c r="C20" i="20" s="1"/>
  <c r="G20" i="3"/>
  <c r="D19" i="20" s="1"/>
  <c r="F20" i="3"/>
  <c r="C19" i="20" s="1"/>
  <c r="G19" i="3"/>
  <c r="D18" i="20" s="1"/>
  <c r="F19" i="3"/>
  <c r="C18" i="20" s="1"/>
  <c r="G18" i="3"/>
  <c r="F18" i="3"/>
  <c r="G17" i="3"/>
  <c r="F17" i="3"/>
  <c r="G16" i="3"/>
  <c r="F16" i="3"/>
  <c r="G11" i="3"/>
  <c r="D10" i="20" s="1"/>
  <c r="F11" i="3"/>
  <c r="C10" i="20" s="1"/>
  <c r="G10" i="3"/>
  <c r="D9" i="20" s="1"/>
  <c r="F10" i="3"/>
  <c r="C9" i="20" s="1"/>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D14" i="20" s="1"/>
  <c r="F15" i="5"/>
  <c r="C14" i="20" s="1"/>
  <c r="G14" i="5"/>
  <c r="D13" i="20" s="1"/>
  <c r="F14" i="5"/>
  <c r="C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9" i="20" l="1"/>
  <c r="E9" i="20"/>
  <c r="E10" i="20"/>
  <c r="E18" i="20"/>
  <c r="C16" i="20"/>
  <c r="E20" i="20"/>
  <c r="D17" i="20"/>
  <c r="C17" i="20"/>
  <c r="D16" i="20"/>
  <c r="E13" i="20"/>
  <c r="E21" i="20"/>
  <c r="E14" i="20"/>
  <c r="F26" i="7"/>
  <c r="H26" i="5"/>
  <c r="H29" i="5" s="1"/>
  <c r="D22" i="3"/>
  <c r="D7" i="3"/>
  <c r="D11" i="3"/>
  <c r="BB53" i="28"/>
  <c r="F8" i="5"/>
  <c r="D11" i="5"/>
  <c r="D10" i="3"/>
  <c r="G9" i="5"/>
  <c r="D21" i="3"/>
  <c r="U24" i="3"/>
  <c r="U26" i="3" s="1"/>
  <c r="F12" i="5"/>
  <c r="V24" i="3"/>
  <c r="V26" i="3" s="1"/>
  <c r="G12" i="5"/>
  <c r="O24" i="3"/>
  <c r="O26" i="3" s="1"/>
  <c r="W24" i="3"/>
  <c r="W26" i="3" s="1"/>
  <c r="N24" i="3"/>
  <c r="N26" i="3" s="1"/>
  <c r="F9" i="3"/>
  <c r="C8" i="20" s="1"/>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Q26" i="3"/>
  <c r="Y24" i="3"/>
  <c r="Y26" i="3" s="1"/>
  <c r="G9" i="3"/>
  <c r="D8" i="20" s="1"/>
  <c r="G13" i="3"/>
  <c r="F13" i="3"/>
  <c r="P24" i="5"/>
  <c r="X24" i="5"/>
  <c r="G13" i="5"/>
  <c r="J24" i="3"/>
  <c r="R24" i="3"/>
  <c r="R26" i="3" s="1"/>
  <c r="I24" i="5"/>
  <c r="Q24" i="5"/>
  <c r="Y24" i="5"/>
  <c r="S24" i="3"/>
  <c r="S26" i="3" s="1"/>
  <c r="D17" i="3"/>
  <c r="D23" i="5"/>
  <c r="F8" i="3"/>
  <c r="C7" i="20" s="1"/>
  <c r="G8" i="3"/>
  <c r="D7" i="20" s="1"/>
  <c r="L24" i="5"/>
  <c r="G8" i="5"/>
  <c r="G23" i="4"/>
  <c r="D22" i="20" s="1"/>
  <c r="F23" i="4"/>
  <c r="C22" i="20" s="1"/>
  <c r="G22" i="4"/>
  <c r="F22" i="4"/>
  <c r="G21" i="4"/>
  <c r="F21" i="4"/>
  <c r="G20" i="4"/>
  <c r="F20" i="4"/>
  <c r="G19" i="4"/>
  <c r="F19" i="4"/>
  <c r="G18" i="4"/>
  <c r="F18" i="4"/>
  <c r="G17" i="4"/>
  <c r="F17" i="4"/>
  <c r="G16" i="4"/>
  <c r="D15" i="20" s="1"/>
  <c r="F16" i="4"/>
  <c r="C15" i="20" s="1"/>
  <c r="G11" i="4"/>
  <c r="F11" i="4"/>
  <c r="G10" i="4"/>
  <c r="F10" i="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7" i="20" l="1"/>
  <c r="I26" i="3"/>
  <c r="B86" i="32"/>
  <c r="E16" i="20"/>
  <c r="E7" i="20"/>
  <c r="E8" i="20"/>
  <c r="E22" i="20"/>
  <c r="K26" i="7"/>
  <c r="N26" i="7"/>
  <c r="M26" i="7"/>
  <c r="L26" i="7"/>
  <c r="E15" i="20"/>
  <c r="I27" i="5"/>
  <c r="I26" i="5"/>
  <c r="I29" i="5" s="1"/>
  <c r="H36" i="23" s="1"/>
  <c r="AB7" i="23"/>
  <c r="AB22" i="23" s="1"/>
  <c r="AJ7" i="23"/>
  <c r="AJ22" i="23" s="1"/>
  <c r="AC7" i="23"/>
  <c r="AK7" i="23"/>
  <c r="AK22" i="23" s="1"/>
  <c r="AL21" i="25" s="1"/>
  <c r="AD7" i="23"/>
  <c r="AD22" i="23" s="1"/>
  <c r="AE7" i="23"/>
  <c r="AF7" i="25" s="1"/>
  <c r="D12" i="5"/>
  <c r="D8" i="5"/>
  <c r="D9" i="5"/>
  <c r="H27" i="5"/>
  <c r="D9" i="3"/>
  <c r="W7" i="23"/>
  <c r="W22" i="23" s="1"/>
  <c r="X21" i="25" s="1"/>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X26" i="5"/>
  <c r="X27" i="5"/>
  <c r="N27" i="7" s="1"/>
  <c r="S26" i="5"/>
  <c r="S29" i="5" s="1"/>
  <c r="S27" i="5"/>
  <c r="E4" i="18"/>
  <c r="G6" i="24" s="1"/>
  <c r="E27" i="28"/>
  <c r="H64" i="28" s="1"/>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L7" i="25"/>
  <c r="U7" i="23"/>
  <c r="T7" i="23"/>
  <c r="T22" i="23" s="1"/>
  <c r="V7" i="23"/>
  <c r="W7" i="25" s="1"/>
  <c r="N7" i="23"/>
  <c r="H26" i="3"/>
  <c r="L26" i="3"/>
  <c r="D13" i="3"/>
  <c r="G24" i="3"/>
  <c r="J26" i="3"/>
  <c r="AD7" i="25"/>
  <c r="AC22" i="23"/>
  <c r="AD21" i="25" s="1"/>
  <c r="AC7" i="25"/>
  <c r="AJ9" i="7"/>
  <c r="L7" i="25"/>
  <c r="K22" i="23"/>
  <c r="L21" i="25" s="1"/>
  <c r="D13" i="5"/>
  <c r="J26" i="5"/>
  <c r="J29" i="5" s="1"/>
  <c r="I36" i="23" s="1"/>
  <c r="F24" i="5"/>
  <c r="G20" i="20"/>
  <c r="F8" i="18"/>
  <c r="G8" i="18"/>
  <c r="L8" i="18"/>
  <c r="Q23" i="6"/>
  <c r="O8" i="18"/>
  <c r="X31" i="7"/>
  <c r="W8" i="18"/>
  <c r="AE8" i="18"/>
  <c r="F8" i="4"/>
  <c r="P24" i="4"/>
  <c r="J26" i="7" s="1"/>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s="1"/>
  <c r="V24" i="4"/>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AI9" i="6"/>
  <c r="I24" i="4"/>
  <c r="F5" i="6"/>
  <c r="G5" i="6" s="1"/>
  <c r="H5" i="6" s="1"/>
  <c r="AI16" i="6"/>
  <c r="H23" i="6"/>
  <c r="P23" i="6"/>
  <c r="X23" i="6"/>
  <c r="AF23" i="6"/>
  <c r="AB31" i="7"/>
  <c r="AC31" i="7"/>
  <c r="P31" i="7"/>
  <c r="AF31" i="7"/>
  <c r="Q31" i="7"/>
  <c r="R31" i="7"/>
  <c r="Z31" i="7"/>
  <c r="AH31" i="7"/>
  <c r="AJ16" i="7"/>
  <c r="AK7" i="25" l="1"/>
  <c r="X7" i="25"/>
  <c r="AE22" i="23"/>
  <c r="AE7" i="25"/>
  <c r="R22" i="23"/>
  <c r="S21" i="25" s="1"/>
  <c r="K36" i="23"/>
  <c r="A25" i="27"/>
  <c r="E12" i="20"/>
  <c r="E11" i="20"/>
  <c r="N25" i="7"/>
  <c r="P24" i="23" s="1"/>
  <c r="X29" i="5"/>
  <c r="P36" i="23" s="1"/>
  <c r="J36" i="23"/>
  <c r="M25" i="7"/>
  <c r="O24" i="23" s="1"/>
  <c r="V29" i="5"/>
  <c r="O36" i="23" s="1"/>
  <c r="L25" i="7"/>
  <c r="N24" i="23" s="1"/>
  <c r="T29" i="5"/>
  <c r="N36" i="23" s="1"/>
  <c r="J25" i="7"/>
  <c r="L24" i="23" s="1"/>
  <c r="P29" i="5"/>
  <c r="L36" i="23" s="1"/>
  <c r="M36" i="23"/>
  <c r="K25" i="7"/>
  <c r="M24" i="23" s="1"/>
  <c r="I25" i="7"/>
  <c r="K24" i="23" s="1"/>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Y7" i="18"/>
  <c r="X7" i="18"/>
  <c r="AC7" i="18"/>
  <c r="AA7" i="18"/>
  <c r="Z7" i="18"/>
  <c r="P7" i="18"/>
  <c r="AG7" i="18"/>
  <c r="AE7" i="18"/>
  <c r="W7" i="18"/>
  <c r="O7" i="18"/>
  <c r="N7" i="18"/>
  <c r="AF7" i="18"/>
  <c r="AD7" i="18"/>
  <c r="V7" i="18"/>
  <c r="U7" i="18"/>
  <c r="T7" i="18"/>
  <c r="AB7" i="18"/>
  <c r="AA21" i="25"/>
  <c r="AK21" i="25"/>
  <c r="AF21" i="25"/>
  <c r="AC21" i="25"/>
  <c r="AG21" i="25"/>
  <c r="AE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F25" i="7" l="1"/>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K24" i="7"/>
  <c r="K23" i="7" s="1"/>
  <c r="K31" i="7" s="1"/>
  <c r="H20" i="18"/>
  <c r="H18" i="18" s="1"/>
  <c r="J24" i="7"/>
  <c r="J23" i="7" s="1"/>
  <c r="J31" i="7"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J64" i="28" s="1"/>
  <c r="E36" i="24"/>
  <c r="F4" i="18"/>
  <c r="H6" i="24" s="1"/>
  <c r="F27" i="28"/>
  <c r="I64" i="28" s="1"/>
  <c r="B91" i="32"/>
  <c r="B59" i="32"/>
  <c r="B43" i="32"/>
  <c r="B27" i="32"/>
  <c r="B23" i="32" s="1"/>
  <c r="B123" i="32"/>
  <c r="B107" i="32"/>
  <c r="B173" i="32"/>
  <c r="B205" i="32"/>
  <c r="B239" i="32"/>
  <c r="B255" i="32"/>
  <c r="B189" i="32"/>
  <c r="D3" i="32"/>
  <c r="B223" i="32"/>
  <c r="B75" i="32"/>
  <c r="B271" i="32"/>
  <c r="B157" i="32"/>
  <c r="B139" i="32"/>
  <c r="F22" i="23"/>
  <c r="H4" i="18"/>
  <c r="I6" i="19" s="1"/>
  <c r="AN6" i="19" s="1"/>
  <c r="H27" i="28"/>
  <c r="K64" i="28" s="1"/>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J5" i="6"/>
  <c r="J5" i="7"/>
  <c r="B84" i="32" l="1"/>
  <c r="B83" i="32" s="1"/>
  <c r="B148" i="26"/>
  <c r="B86" i="26"/>
  <c r="AI37" i="19"/>
  <c r="AH17" i="18"/>
  <c r="AH7" i="18" s="1"/>
  <c r="E23" i="27"/>
  <c r="H24" i="23"/>
  <c r="H27" i="23" s="1"/>
  <c r="E22" i="27"/>
  <c r="E38" i="27"/>
  <c r="F25" i="23"/>
  <c r="F23" i="7"/>
  <c r="G19" i="20"/>
  <c r="L35" i="19"/>
  <c r="L41" i="19" s="1"/>
  <c r="K20" i="18"/>
  <c r="K18" i="18" s="1"/>
  <c r="L24" i="7"/>
  <c r="L23" i="7" s="1"/>
  <c r="L31" i="7" s="1"/>
  <c r="AJ27" i="7"/>
  <c r="P27" i="23"/>
  <c r="G21" i="20"/>
  <c r="G25" i="23"/>
  <c r="S17" i="18"/>
  <c r="T37" i="19"/>
  <c r="T29" i="7"/>
  <c r="AJ30" i="7"/>
  <c r="E13" i="4"/>
  <c r="N11" i="23"/>
  <c r="O11" i="25" s="1"/>
  <c r="N34" i="19"/>
  <c r="AS34" i="19" s="1"/>
  <c r="AS35" i="19"/>
  <c r="J6" i="23"/>
  <c r="AM6" i="19"/>
  <c r="D27" i="26"/>
  <c r="D2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41" i="19" s="1"/>
  <c r="I24" i="7"/>
  <c r="I23" i="7" s="1"/>
  <c r="I31" i="7" s="1"/>
  <c r="L23" i="25"/>
  <c r="L25" i="25" s="1"/>
  <c r="M23" i="25"/>
  <c r="M25" i="25" s="1"/>
  <c r="J35" i="19"/>
  <c r="J41" i="19" s="1"/>
  <c r="N23" i="25"/>
  <c r="N25" i="25" s="1"/>
  <c r="K35" i="19"/>
  <c r="J20" i="18"/>
  <c r="J18" i="18" s="1"/>
  <c r="B154" i="32"/>
  <c r="B149" i="32" s="1"/>
  <c r="B220" i="32"/>
  <c r="B214" i="32"/>
  <c r="I6" i="24"/>
  <c r="M35" i="19"/>
  <c r="AR35" i="19" s="1"/>
  <c r="H35" i="19"/>
  <c r="B153" i="26"/>
  <c r="B141" i="26" s="1"/>
  <c r="B143" i="26" s="1"/>
  <c r="G35" i="19"/>
  <c r="F35" i="19"/>
  <c r="F41" i="19" s="1"/>
  <c r="E20" i="18"/>
  <c r="E18" i="18" s="1"/>
  <c r="H21" i="25"/>
  <c r="M24" i="7"/>
  <c r="M23" i="7" s="1"/>
  <c r="M31" i="7" s="1"/>
  <c r="L20" i="18"/>
  <c r="E11" i="4"/>
  <c r="E10" i="4"/>
  <c r="J57" i="28"/>
  <c r="J6" i="24"/>
  <c r="G6" i="19"/>
  <c r="J6" i="25" s="1"/>
  <c r="J20" i="25" s="1"/>
  <c r="E23" i="20"/>
  <c r="G21" i="25"/>
  <c r="D189" i="32"/>
  <c r="D123" i="32"/>
  <c r="D255" i="32"/>
  <c r="D27" i="32"/>
  <c r="D23" i="32" s="1"/>
  <c r="D86" i="32" s="1"/>
  <c r="D87"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101" i="32"/>
  <c r="B100" i="32"/>
  <c r="B264" i="32"/>
  <c r="B182" i="32"/>
  <c r="B134" i="32"/>
  <c r="B135" i="32" s="1"/>
  <c r="B36" i="32"/>
  <c r="B234" i="32"/>
  <c r="B200" i="32"/>
  <c r="B37" i="32"/>
  <c r="B266" i="32"/>
  <c r="B148" i="32"/>
  <c r="B132" i="32"/>
  <c r="B87" i="32"/>
  <c r="B116" i="32"/>
  <c r="I4" i="18"/>
  <c r="K6" i="24" s="1"/>
  <c r="I27" i="28"/>
  <c r="L64" i="28" s="1"/>
  <c r="K41" i="28"/>
  <c r="K40" i="28"/>
  <c r="L39" i="28" s="1"/>
  <c r="N27" i="23"/>
  <c r="L6" i="25"/>
  <c r="L20" i="25" s="1"/>
  <c r="K6" i="23"/>
  <c r="E19" i="4"/>
  <c r="E24" i="4"/>
  <c r="E7" i="4"/>
  <c r="E18" i="4"/>
  <c r="E17" i="4"/>
  <c r="E8" i="4"/>
  <c r="E21" i="4"/>
  <c r="E9" i="4"/>
  <c r="E23" i="4"/>
  <c r="E16" i="4"/>
  <c r="E20" i="4"/>
  <c r="E12" i="4"/>
  <c r="E22" i="4"/>
  <c r="K5" i="6"/>
  <c r="K5" i="7"/>
  <c r="H3" i="26" l="1"/>
  <c r="F271" i="26"/>
  <c r="D282" i="26"/>
  <c r="D283" i="26" s="1"/>
  <c r="D86" i="26"/>
  <c r="AJ37" i="24"/>
  <c r="AJ34" i="24" s="1"/>
  <c r="AJ42" i="24" s="1"/>
  <c r="BN37" i="19"/>
  <c r="AI34" i="19"/>
  <c r="F157" i="26"/>
  <c r="F27" i="26"/>
  <c r="F23" i="26" s="1"/>
  <c r="F220"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H41" i="19"/>
  <c r="AO41" i="19"/>
  <c r="K41" i="24"/>
  <c r="K38" i="24" s="1"/>
  <c r="J38" i="19"/>
  <c r="AO38" i="19" s="1"/>
  <c r="AN41" i="19"/>
  <c r="J41" i="24"/>
  <c r="J38" i="24" s="1"/>
  <c r="I38" i="19"/>
  <c r="AN38" i="19" s="1"/>
  <c r="AL35" i="19"/>
  <c r="G41" i="19"/>
  <c r="AK41" i="19"/>
  <c r="G41" i="24"/>
  <c r="F38" i="19"/>
  <c r="F34" i="19" s="1"/>
  <c r="AP35" i="19"/>
  <c r="K41" i="19"/>
  <c r="AQ41" i="19"/>
  <c r="M41" i="24"/>
  <c r="M38"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4" i="32"/>
  <c r="D220" i="32"/>
  <c r="D216" i="32" s="1"/>
  <c r="D217" i="32" s="1"/>
  <c r="B216" i="32"/>
  <c r="B217" i="32" s="1"/>
  <c r="B150" i="32"/>
  <c r="B151" i="32" s="1"/>
  <c r="B152"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B209" i="26"/>
  <c r="B210" i="26" s="1"/>
  <c r="F23" i="20"/>
  <c r="I23" i="25"/>
  <c r="I25" i="25" s="1"/>
  <c r="F154" i="26"/>
  <c r="D154" i="32"/>
  <c r="K56" i="28"/>
  <c r="L23" i="18" s="1"/>
  <c r="P23" i="25"/>
  <c r="P25" i="25" s="1"/>
  <c r="O27" i="23"/>
  <c r="K55"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132" i="32"/>
  <c r="D101" i="32"/>
  <c r="D103" i="32" s="1"/>
  <c r="D248" i="32"/>
  <c r="D84" i="32"/>
  <c r="D83" i="32" s="1"/>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7" i="28"/>
  <c r="M64" i="28" s="1"/>
  <c r="B201" i="32"/>
  <c r="B202" i="32" s="1"/>
  <c r="B103" i="32"/>
  <c r="B104" i="32" s="1"/>
  <c r="B119" i="32"/>
  <c r="B71" i="32"/>
  <c r="B72" i="32" s="1"/>
  <c r="B267" i="32"/>
  <c r="B268" i="32" s="1"/>
  <c r="B88" i="32"/>
  <c r="B235" i="32"/>
  <c r="B236" i="32" s="1"/>
  <c r="B251" i="32"/>
  <c r="B252" i="32" s="1"/>
  <c r="L40" i="28"/>
  <c r="L55" i="28" s="1"/>
  <c r="M22" i="18" s="1"/>
  <c r="K42" i="28"/>
  <c r="B247" i="26"/>
  <c r="B279" i="26"/>
  <c r="B278" i="26"/>
  <c r="B284" i="26"/>
  <c r="F280" i="26"/>
  <c r="B268" i="26"/>
  <c r="F266" i="26"/>
  <c r="B252" i="26"/>
  <c r="F250" i="26"/>
  <c r="F248" i="26"/>
  <c r="B236" i="26"/>
  <c r="F234" i="26"/>
  <c r="F232" i="26"/>
  <c r="D209" i="26"/>
  <c r="B196" i="26"/>
  <c r="F200" i="26"/>
  <c r="F198" i="26"/>
  <c r="F167" i="26"/>
  <c r="F182" i="26"/>
  <c r="B186" i="26"/>
  <c r="F166" i="26"/>
  <c r="B161" i="26"/>
  <c r="B130" i="26"/>
  <c r="F134" i="26"/>
  <c r="F132" i="26"/>
  <c r="B136" i="26"/>
  <c r="F118" i="26"/>
  <c r="F116" i="26"/>
  <c r="B104" i="26"/>
  <c r="F100" i="26"/>
  <c r="B95" i="26"/>
  <c r="F85" i="26"/>
  <c r="B88" i="26"/>
  <c r="B79" i="26"/>
  <c r="B66" i="26"/>
  <c r="F68" i="26"/>
  <c r="F54" i="26"/>
  <c r="F52" i="26"/>
  <c r="F36" i="26"/>
  <c r="H239" i="26"/>
  <c r="H271" i="26"/>
  <c r="H205" i="26"/>
  <c r="H123" i="26"/>
  <c r="H91" i="26"/>
  <c r="H255" i="26"/>
  <c r="H173" i="26"/>
  <c r="H27" i="26"/>
  <c r="H23" i="26" s="1"/>
  <c r="H86" i="26" s="1"/>
  <c r="H189" i="26"/>
  <c r="H107" i="26"/>
  <c r="J3" i="26"/>
  <c r="H59" i="26"/>
  <c r="H223" i="26"/>
  <c r="H75" i="26"/>
  <c r="H43" i="26"/>
  <c r="H157" i="26"/>
  <c r="H139" i="26"/>
  <c r="L5" i="6"/>
  <c r="L5" i="7"/>
  <c r="AI29" i="7"/>
  <c r="AK8" i="23" s="1"/>
  <c r="F31" i="7"/>
  <c r="D88" i="32" l="1"/>
  <c r="F148" i="26"/>
  <c r="F214" i="26"/>
  <c r="F282" i="26"/>
  <c r="F283" i="26" s="1"/>
  <c r="F86" i="26"/>
  <c r="D37" i="19"/>
  <c r="AI42" i="19"/>
  <c r="BN42" i="19" s="1"/>
  <c r="BN34" i="19"/>
  <c r="F37" i="26"/>
  <c r="F39" i="26" s="1"/>
  <c r="F40" i="26" s="1"/>
  <c r="F70" i="26"/>
  <c r="F71" i="26" s="1"/>
  <c r="F72" i="26" s="1"/>
  <c r="F84" i="26"/>
  <c r="F101" i="26"/>
  <c r="F184" i="26"/>
  <c r="F264" i="26"/>
  <c r="M34" i="24"/>
  <c r="M42" i="24" s="1"/>
  <c r="I21" i="23"/>
  <c r="I35" i="23" s="1"/>
  <c r="F150" i="26"/>
  <c r="F149" i="26"/>
  <c r="D150" i="26"/>
  <c r="D14" i="26" s="1"/>
  <c r="D149" i="26"/>
  <c r="D13" i="26" s="1"/>
  <c r="D150" i="32"/>
  <c r="D14" i="32" s="1"/>
  <c r="D149"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18" i="32"/>
  <c r="F216" i="26"/>
  <c r="F217" i="26" s="1"/>
  <c r="F218" i="26" s="1"/>
  <c r="O11" i="23"/>
  <c r="P11" i="25" s="1"/>
  <c r="D207" i="26"/>
  <c r="D141" i="26"/>
  <c r="D143" i="26" s="1"/>
  <c r="B212" i="26"/>
  <c r="B213" i="26" s="1"/>
  <c r="H148" i="26"/>
  <c r="H214" i="26"/>
  <c r="H220" i="26"/>
  <c r="L6" i="23"/>
  <c r="F219" i="26"/>
  <c r="F207" i="26" s="1"/>
  <c r="D186" i="32"/>
  <c r="D210" i="26"/>
  <c r="H154" i="26"/>
  <c r="F153" i="26"/>
  <c r="F141" i="26" s="1"/>
  <c r="F143" i="26" s="1"/>
  <c r="F23" i="32"/>
  <c r="F86" i="32" s="1"/>
  <c r="F87" i="32" s="1"/>
  <c r="D218" i="32"/>
  <c r="L18" i="18"/>
  <c r="D72" i="32"/>
  <c r="D120" i="32"/>
  <c r="K57" i="28"/>
  <c r="D202" i="32"/>
  <c r="D252" i="32"/>
  <c r="D104" i="32"/>
  <c r="D268" i="32"/>
  <c r="D55" i="32"/>
  <c r="D56" i="32" s="1"/>
  <c r="B120" i="32"/>
  <c r="L6" i="24"/>
  <c r="K4" i="18"/>
  <c r="M6" i="24" s="1"/>
  <c r="K27" i="28"/>
  <c r="N64" i="28" s="1"/>
  <c r="D236" i="32"/>
  <c r="D170" i="32"/>
  <c r="D39" i="32"/>
  <c r="D40" i="32" s="1"/>
  <c r="D284" i="32"/>
  <c r="D136" i="32"/>
  <c r="H173" i="32"/>
  <c r="H189" i="32"/>
  <c r="H157" i="32"/>
  <c r="H27" i="32"/>
  <c r="H23" i="32" s="1"/>
  <c r="H86" i="32" s="1"/>
  <c r="H87" i="32" s="1"/>
  <c r="H271" i="32"/>
  <c r="H43" i="32"/>
  <c r="H239" i="32"/>
  <c r="H75" i="32"/>
  <c r="H139" i="32"/>
  <c r="J3" i="32"/>
  <c r="H255" i="32"/>
  <c r="H91" i="32"/>
  <c r="H59" i="32"/>
  <c r="H107" i="32"/>
  <c r="H223" i="32"/>
  <c r="H123" i="32"/>
  <c r="H205" i="32"/>
  <c r="L41" i="28"/>
  <c r="H282" i="26"/>
  <c r="H280" i="26"/>
  <c r="H273" i="26" s="1"/>
  <c r="F273" i="26"/>
  <c r="F278" i="26" s="1"/>
  <c r="F284" i="26"/>
  <c r="D247" i="26"/>
  <c r="H266" i="26"/>
  <c r="H267" i="26" s="1"/>
  <c r="H264" i="26"/>
  <c r="F267" i="26"/>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86" i="26" s="1"/>
  <c r="J107" i="26"/>
  <c r="J189" i="26"/>
  <c r="N6" i="25"/>
  <c r="N20" i="25" s="1"/>
  <c r="M6" i="23"/>
  <c r="M5" i="6"/>
  <c r="M5" i="7"/>
  <c r="AJ29" i="7"/>
  <c r="AI31" i="7"/>
  <c r="F13" i="26" l="1"/>
  <c r="F87" i="26"/>
  <c r="F88" i="26" s="1"/>
  <c r="F220" i="32"/>
  <c r="F268" i="26"/>
  <c r="F77" i="26"/>
  <c r="F78" i="26" s="1"/>
  <c r="D79" i="26"/>
  <c r="D80" i="26" s="1"/>
  <c r="D151" i="32"/>
  <c r="D152"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4" i="32"/>
  <c r="H220" i="32"/>
  <c r="H216" i="32" s="1"/>
  <c r="H217" i="32" s="1"/>
  <c r="F14" i="26"/>
  <c r="F264" i="32"/>
  <c r="F214" i="32"/>
  <c r="H216" i="26"/>
  <c r="H217" i="26" s="1"/>
  <c r="H218" i="26" s="1"/>
  <c r="D212" i="26"/>
  <c r="D213" i="26" s="1"/>
  <c r="F70" i="32"/>
  <c r="F71" i="32" s="1"/>
  <c r="L21" i="23"/>
  <c r="L35" i="23" s="1"/>
  <c r="M21" i="23"/>
  <c r="M35" i="23" s="1"/>
  <c r="F216" i="32"/>
  <c r="F217" i="32" s="1"/>
  <c r="F248" i="32"/>
  <c r="H219" i="26"/>
  <c r="H207" i="26" s="1"/>
  <c r="F182" i="32"/>
  <c r="F166" i="32"/>
  <c r="J214" i="26"/>
  <c r="J148" i="26"/>
  <c r="J220" i="26"/>
  <c r="F52" i="32"/>
  <c r="F54" i="32"/>
  <c r="F55" i="32" s="1"/>
  <c r="F232" i="32"/>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68" i="32"/>
  <c r="F148" i="32"/>
  <c r="F250" i="32"/>
  <c r="F251" i="32" s="1"/>
  <c r="F84" i="32"/>
  <c r="H154" i="32"/>
  <c r="M56" i="28"/>
  <c r="N23" i="18" s="1"/>
  <c r="L56" i="28"/>
  <c r="AK27" i="23"/>
  <c r="AL24" i="25"/>
  <c r="F26" i="23"/>
  <c r="L42"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L4" i="18"/>
  <c r="M6" i="19" s="1"/>
  <c r="AR6" i="19" s="1"/>
  <c r="L27" i="28"/>
  <c r="O64" i="28" s="1"/>
  <c r="J123" i="32"/>
  <c r="J27" i="32"/>
  <c r="J23" i="32" s="1"/>
  <c r="J86" i="32" s="1"/>
  <c r="J87" i="32" s="1"/>
  <c r="J43" i="32"/>
  <c r="J255" i="32"/>
  <c r="J107" i="32"/>
  <c r="L3" i="32"/>
  <c r="J223" i="32"/>
  <c r="J139" i="32"/>
  <c r="J75" i="32"/>
  <c r="J205" i="32"/>
  <c r="J157" i="32"/>
  <c r="J189" i="32"/>
  <c r="J173" i="32"/>
  <c r="J271" i="32"/>
  <c r="J59" i="32"/>
  <c r="J239" i="32"/>
  <c r="J91"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86" i="26" s="1"/>
  <c r="L157" i="26"/>
  <c r="L75" i="26"/>
  <c r="L107" i="26"/>
  <c r="L43" i="26"/>
  <c r="L123" i="26"/>
  <c r="N5" i="6"/>
  <c r="N5" i="7"/>
  <c r="F83" i="32" l="1"/>
  <c r="F88" i="32"/>
  <c r="H88" i="32"/>
  <c r="H83" i="32"/>
  <c r="F15" i="26"/>
  <c r="F218" i="32"/>
  <c r="D82" i="26"/>
  <c r="D21" i="27"/>
  <c r="D37" i="27"/>
  <c r="E21" i="27"/>
  <c r="E30" i="27" s="1"/>
  <c r="D4" i="33" s="1"/>
  <c r="E37" i="27"/>
  <c r="E40" i="27" s="1"/>
  <c r="E41" i="27" s="1"/>
  <c r="E42" i="27" s="1"/>
  <c r="E43" i="27" s="1"/>
  <c r="H150" i="32"/>
  <c r="H14" i="32" s="1"/>
  <c r="H149" i="32"/>
  <c r="F150" i="32"/>
  <c r="F14" i="32" s="1"/>
  <c r="F149" i="32"/>
  <c r="J150" i="26"/>
  <c r="J149" i="26"/>
  <c r="J13" i="26" s="1"/>
  <c r="AP34" i="19"/>
  <c r="K42" i="19"/>
  <c r="AP42" i="19" s="1"/>
  <c r="J29" i="26"/>
  <c r="J30" i="26" s="1"/>
  <c r="N39" i="28"/>
  <c r="N40" i="28" s="1"/>
  <c r="H14" i="26"/>
  <c r="H15" i="26" s="1"/>
  <c r="N6" i="23"/>
  <c r="N21" i="23" s="1"/>
  <c r="N35" i="23" s="1"/>
  <c r="AQ6" i="19"/>
  <c r="F268" i="32"/>
  <c r="J216" i="26"/>
  <c r="J217" i="26" s="1"/>
  <c r="J218" i="26" s="1"/>
  <c r="L57" i="28"/>
  <c r="M23" i="18"/>
  <c r="F136" i="32"/>
  <c r="F202" i="32"/>
  <c r="F170" i="32"/>
  <c r="F252" i="32"/>
  <c r="F284" i="32"/>
  <c r="F56" i="32"/>
  <c r="F236" i="32"/>
  <c r="F186" i="32"/>
  <c r="J214" i="32"/>
  <c r="J220" i="32"/>
  <c r="J216" i="32" s="1"/>
  <c r="J217" i="32" s="1"/>
  <c r="F104" i="32"/>
  <c r="F72" i="32"/>
  <c r="L220" i="26"/>
  <c r="L214" i="26"/>
  <c r="L148" i="26"/>
  <c r="J219" i="26"/>
  <c r="F40" i="32"/>
  <c r="L154" i="26"/>
  <c r="J153" i="26"/>
  <c r="J141" i="26" s="1"/>
  <c r="J143" i="26" s="1"/>
  <c r="H218" i="32"/>
  <c r="J154" i="32"/>
  <c r="N6" i="24"/>
  <c r="M55" i="28"/>
  <c r="AL25" i="25"/>
  <c r="G24" i="25"/>
  <c r="H252" i="32"/>
  <c r="O6" i="25"/>
  <c r="O20" i="25" s="1"/>
  <c r="H236" i="32"/>
  <c r="H136" i="32"/>
  <c r="H268" i="32"/>
  <c r="J200" i="32"/>
  <c r="J201" i="32" s="1"/>
  <c r="J166" i="32"/>
  <c r="J148" i="32"/>
  <c r="J100" i="32"/>
  <c r="J84" i="32"/>
  <c r="J184" i="32"/>
  <c r="J185" i="32" s="1"/>
  <c r="J132" i="32"/>
  <c r="J101" i="32"/>
  <c r="J103" i="32" s="1"/>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7" i="28"/>
  <c r="P64" i="28" s="1"/>
  <c r="H202" i="32"/>
  <c r="H39" i="32"/>
  <c r="H40" i="32" s="1"/>
  <c r="H120" i="32"/>
  <c r="L239" i="32"/>
  <c r="L91" i="32"/>
  <c r="L189" i="32"/>
  <c r="L27" i="32"/>
  <c r="L23" i="32" s="1"/>
  <c r="L86" i="32" s="1"/>
  <c r="L87" i="32" s="1"/>
  <c r="L173" i="32"/>
  <c r="L123" i="32"/>
  <c r="N3" i="32"/>
  <c r="L107" i="32"/>
  <c r="L75" i="32"/>
  <c r="L223" i="32"/>
  <c r="L139" i="32"/>
  <c r="L43" i="32"/>
  <c r="L205" i="32"/>
  <c r="L271" i="32"/>
  <c r="L157" i="32"/>
  <c r="L255" i="32"/>
  <c r="L59" i="32"/>
  <c r="F120" i="32"/>
  <c r="H284" i="32"/>
  <c r="H103" i="32"/>
  <c r="H104" i="32" s="1"/>
  <c r="H55" i="32"/>
  <c r="H56"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86" i="26" s="1"/>
  <c r="N91" i="26"/>
  <c r="N43" i="26"/>
  <c r="N139" i="26"/>
  <c r="O6" i="23"/>
  <c r="O21" i="23" s="1"/>
  <c r="O35" i="23" s="1"/>
  <c r="P6" i="25"/>
  <c r="P20" i="25" s="1"/>
  <c r="O5" i="6"/>
  <c r="O5" i="7"/>
  <c r="J83" i="32" l="1"/>
  <c r="J88" i="32"/>
  <c r="H151" i="32"/>
  <c r="H152" i="32" s="1"/>
  <c r="F151" i="32"/>
  <c r="F152" i="32" s="1"/>
  <c r="J150" i="32"/>
  <c r="J14" i="32" s="1"/>
  <c r="J149" i="32"/>
  <c r="L150" i="26"/>
  <c r="L149" i="26"/>
  <c r="L13" i="26" s="1"/>
  <c r="L159" i="26"/>
  <c r="L160" i="26" s="1"/>
  <c r="J78" i="26"/>
  <c r="O39" i="28"/>
  <c r="O41" i="28" s="1"/>
  <c r="N6" i="19"/>
  <c r="AS6" i="19" s="1"/>
  <c r="J14" i="26"/>
  <c r="J15" i="26" s="1"/>
  <c r="L216" i="26"/>
  <c r="L217" i="26" s="1"/>
  <c r="L218" i="26" s="1"/>
  <c r="M57" i="28"/>
  <c r="N22" i="18"/>
  <c r="M18" i="18"/>
  <c r="P11" i="23"/>
  <c r="Q11" i="25" s="1"/>
  <c r="L42" i="32"/>
  <c r="B51" i="32" s="1"/>
  <c r="J207" i="26"/>
  <c r="F13" i="32"/>
  <c r="F15" i="32" s="1"/>
  <c r="H13" i="32"/>
  <c r="H15" i="32" s="1"/>
  <c r="L220" i="32"/>
  <c r="L216" i="32" s="1"/>
  <c r="L217" i="32" s="1"/>
  <c r="L214" i="32"/>
  <c r="N214" i="26"/>
  <c r="N148" i="26"/>
  <c r="N220" i="26"/>
  <c r="L219" i="26"/>
  <c r="L207" i="26" s="1"/>
  <c r="N154" i="26"/>
  <c r="L153" i="26"/>
  <c r="L141" i="26" s="1"/>
  <c r="L143" i="26" s="1"/>
  <c r="L154" i="32"/>
  <c r="J252" i="32"/>
  <c r="N55" i="28"/>
  <c r="O22" i="18" s="1"/>
  <c r="N41" i="28"/>
  <c r="N42" i="28" s="1"/>
  <c r="J202" i="32"/>
  <c r="J268" i="32"/>
  <c r="J186" i="32"/>
  <c r="J104" i="32"/>
  <c r="J39" i="32"/>
  <c r="J40" i="32" s="1"/>
  <c r="J235" i="32"/>
  <c r="J236" i="32" s="1"/>
  <c r="J170" i="32"/>
  <c r="N223" i="32"/>
  <c r="N139" i="32"/>
  <c r="N43" i="32"/>
  <c r="N205" i="32"/>
  <c r="N173" i="32"/>
  <c r="N271" i="32"/>
  <c r="N91" i="32"/>
  <c r="N239" i="32"/>
  <c r="N75" i="32"/>
  <c r="N255" i="32"/>
  <c r="N59" i="32"/>
  <c r="N189" i="32"/>
  <c r="N107" i="32"/>
  <c r="N157" i="32"/>
  <c r="N27" i="32"/>
  <c r="N23" i="32" s="1"/>
  <c r="N86" i="32" s="1"/>
  <c r="N87" i="32" s="1"/>
  <c r="N123" i="32"/>
  <c r="P3" i="32"/>
  <c r="J218" i="32"/>
  <c r="J72" i="32"/>
  <c r="J55" i="32"/>
  <c r="J56" i="32" s="1"/>
  <c r="J136" i="32"/>
  <c r="N4" i="18"/>
  <c r="P6" i="24" s="1"/>
  <c r="N27" i="28"/>
  <c r="Q64" i="28" s="1"/>
  <c r="J247" i="26"/>
  <c r="L198" i="32"/>
  <c r="L132" i="32"/>
  <c r="L101" i="32"/>
  <c r="L118" i="32"/>
  <c r="L119" i="32" s="1"/>
  <c r="L266" i="32"/>
  <c r="L52" i="32"/>
  <c r="L232" i="32"/>
  <c r="L134" i="32"/>
  <c r="L36"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86" i="26" s="1"/>
  <c r="P173" i="26"/>
  <c r="P43" i="26"/>
  <c r="P75" i="26"/>
  <c r="P139" i="26"/>
  <c r="P205" i="26"/>
  <c r="P123" i="26"/>
  <c r="P91" i="26"/>
  <c r="P5" i="6"/>
  <c r="P5" i="7"/>
  <c r="L83" i="32" l="1"/>
  <c r="L88" i="32"/>
  <c r="L218" i="32"/>
  <c r="J151" i="32"/>
  <c r="J152" i="32" s="1"/>
  <c r="N150" i="26"/>
  <c r="N149" i="26"/>
  <c r="N13" i="26" s="1"/>
  <c r="L150" i="32"/>
  <c r="L14" i="32" s="1"/>
  <c r="L149" i="32"/>
  <c r="L13" i="32" s="1"/>
  <c r="J82" i="26"/>
  <c r="N29" i="26"/>
  <c r="N30" i="26" s="1"/>
  <c r="Q6" i="25"/>
  <c r="Q20" i="25" s="1"/>
  <c r="P6" i="23"/>
  <c r="P21" i="23" s="1"/>
  <c r="P35" i="23" s="1"/>
  <c r="L14" i="26"/>
  <c r="L15" i="26" s="1"/>
  <c r="N216" i="26"/>
  <c r="N217" i="26" s="1"/>
  <c r="N218" i="26" s="1"/>
  <c r="N18" i="18"/>
  <c r="N24" i="18" s="1"/>
  <c r="Q11" i="23"/>
  <c r="R11" i="25" s="1"/>
  <c r="J13" i="32"/>
  <c r="J15" i="32" s="1"/>
  <c r="N219" i="26"/>
  <c r="N214" i="32"/>
  <c r="N220" i="32"/>
  <c r="N216" i="32" s="1"/>
  <c r="N217" i="32" s="1"/>
  <c r="P220" i="26"/>
  <c r="P148" i="26"/>
  <c r="P214" i="26"/>
  <c r="P154" i="26"/>
  <c r="N153" i="26"/>
  <c r="N154" i="32"/>
  <c r="N149" i="32" s="1"/>
  <c r="O56" i="28"/>
  <c r="P23" i="18" s="1"/>
  <c r="N56" i="28"/>
  <c r="O23" i="18" s="1"/>
  <c r="O40" i="28"/>
  <c r="P39"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166" i="32"/>
  <c r="J120" i="32"/>
  <c r="L185" i="32"/>
  <c r="L186" i="32" s="1"/>
  <c r="L283" i="32"/>
  <c r="L284" i="32" s="1"/>
  <c r="L236" i="32"/>
  <c r="O6" i="19"/>
  <c r="R6" i="25" s="1"/>
  <c r="R20" i="25" s="1"/>
  <c r="L39" i="32"/>
  <c r="L40" i="32" s="1"/>
  <c r="L71" i="32"/>
  <c r="L72" i="32" s="1"/>
  <c r="L201" i="32"/>
  <c r="L202" i="32" s="1"/>
  <c r="L135" i="32"/>
  <c r="L136" i="32" s="1"/>
  <c r="L169" i="32"/>
  <c r="L170" i="32" s="1"/>
  <c r="L55" i="32"/>
  <c r="L56" i="32" s="1"/>
  <c r="O4" i="18"/>
  <c r="Q6" i="24" s="1"/>
  <c r="O27" i="28"/>
  <c r="R64" i="28" s="1"/>
  <c r="L251" i="32"/>
  <c r="L252" i="32" s="1"/>
  <c r="L267" i="32"/>
  <c r="L268" i="32" s="1"/>
  <c r="P139" i="32"/>
  <c r="P59" i="32"/>
  <c r="P223" i="32"/>
  <c r="P43" i="32"/>
  <c r="P173" i="32"/>
  <c r="P27" i="32"/>
  <c r="P23" i="32" s="1"/>
  <c r="P86" i="32" s="1"/>
  <c r="P87"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86" i="26" s="1"/>
  <c r="T86" i="26" s="1"/>
  <c r="R173" i="26"/>
  <c r="R75" i="26"/>
  <c r="R139" i="26"/>
  <c r="R123" i="26"/>
  <c r="Q5" i="6"/>
  <c r="Q5" i="7"/>
  <c r="N83" i="32" l="1"/>
  <c r="N88" i="32"/>
  <c r="N218" i="32"/>
  <c r="N31" i="26"/>
  <c r="N32" i="26" s="1"/>
  <c r="P150" i="26"/>
  <c r="P149" i="26"/>
  <c r="P13" i="26" s="1"/>
  <c r="N14" i="26"/>
  <c r="N15" i="26" s="1"/>
  <c r="Q6" i="23"/>
  <c r="Q21" i="23" s="1"/>
  <c r="Q35" i="23" s="1"/>
  <c r="AT6" i="19"/>
  <c r="P6" i="19"/>
  <c r="AU6" i="19" s="1"/>
  <c r="N150" i="32"/>
  <c r="N151" i="32" s="1"/>
  <c r="N152" i="32" s="1"/>
  <c r="P216" i="26"/>
  <c r="P217" i="26" s="1"/>
  <c r="P218" i="26" s="1"/>
  <c r="N57" i="28"/>
  <c r="N141" i="26"/>
  <c r="N143" i="26" s="1"/>
  <c r="N207" i="26"/>
  <c r="N186" i="32"/>
  <c r="P214" i="32"/>
  <c r="P220" i="32"/>
  <c r="P216" i="32" s="1"/>
  <c r="P217" i="32" s="1"/>
  <c r="L151" i="32"/>
  <c r="L152" i="32" s="1"/>
  <c r="R220" i="26"/>
  <c r="R148" i="26"/>
  <c r="R214" i="26"/>
  <c r="P219" i="26"/>
  <c r="P207" i="26" s="1"/>
  <c r="P209" i="26" s="1"/>
  <c r="P210" i="26" s="1"/>
  <c r="L210" i="26"/>
  <c r="L212" i="26" s="1"/>
  <c r="L213" i="26" s="1"/>
  <c r="R154" i="26"/>
  <c r="P153" i="26"/>
  <c r="P141" i="26" s="1"/>
  <c r="P143" i="26" s="1"/>
  <c r="P154" i="32"/>
  <c r="P149" i="32" s="1"/>
  <c r="O42" i="28"/>
  <c r="O55" i="28"/>
  <c r="N202" i="32"/>
  <c r="R11" i="23"/>
  <c r="S11" i="25" s="1"/>
  <c r="O18" i="18"/>
  <c r="O24" i="18" s="1"/>
  <c r="N236" i="32"/>
  <c r="N252" i="32"/>
  <c r="N268" i="32"/>
  <c r="N136" i="32"/>
  <c r="L15" i="32"/>
  <c r="N72" i="32"/>
  <c r="P234" i="32"/>
  <c r="P184" i="32"/>
  <c r="P185" i="32" s="1"/>
  <c r="P54" i="32"/>
  <c r="P264" i="32"/>
  <c r="P266" i="32"/>
  <c r="P37" i="32"/>
  <c r="P200" i="32"/>
  <c r="P36" i="32"/>
  <c r="P282" i="32"/>
  <c r="P166" i="32"/>
  <c r="P84"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7" i="28"/>
  <c r="S64" i="28" s="1"/>
  <c r="P284" i="26"/>
  <c r="N170" i="32"/>
  <c r="N104" i="32"/>
  <c r="N120" i="32"/>
  <c r="R173" i="32"/>
  <c r="R27" i="32"/>
  <c r="R23" i="32" s="1"/>
  <c r="R255" i="32"/>
  <c r="R75" i="32"/>
  <c r="R43" i="32"/>
  <c r="R271" i="32"/>
  <c r="R239" i="32"/>
  <c r="R123" i="32"/>
  <c r="R205" i="32"/>
  <c r="R189" i="32"/>
  <c r="R91" i="32"/>
  <c r="R223" i="32"/>
  <c r="R107" i="32"/>
  <c r="R59" i="32"/>
  <c r="R157" i="32"/>
  <c r="R139"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R86" i="32" l="1"/>
  <c r="R87" i="32" s="1"/>
  <c r="P83" i="32"/>
  <c r="P88" i="32"/>
  <c r="P160" i="26"/>
  <c r="P164" i="26" s="1"/>
  <c r="R150" i="26"/>
  <c r="T150" i="26" s="1"/>
  <c r="R149" i="26"/>
  <c r="T149" i="26" s="1"/>
  <c r="R29" i="26"/>
  <c r="R30" i="26" s="1"/>
  <c r="T30" i="26" s="1"/>
  <c r="S6" i="25"/>
  <c r="S20" i="25" s="1"/>
  <c r="R6" i="23"/>
  <c r="R21" i="23" s="1"/>
  <c r="R35" i="23" s="1"/>
  <c r="P14" i="26"/>
  <c r="P15" i="26" s="1"/>
  <c r="N14" i="32"/>
  <c r="N15" i="32" s="1"/>
  <c r="P150" i="32"/>
  <c r="P151" i="32" s="1"/>
  <c r="P152" i="32" s="1"/>
  <c r="R216" i="26"/>
  <c r="T216" i="26" s="1"/>
  <c r="O57" i="28"/>
  <c r="P22" i="18"/>
  <c r="S11" i="23" s="1"/>
  <c r="T11" i="25" s="1"/>
  <c r="T215" i="26"/>
  <c r="R220" i="32"/>
  <c r="R214" i="32"/>
  <c r="R219" i="26"/>
  <c r="R207" i="26" s="1"/>
  <c r="T207" i="26" s="1"/>
  <c r="N210" i="26"/>
  <c r="N212" i="26" s="1"/>
  <c r="N213" i="26" s="1"/>
  <c r="R153" i="26"/>
  <c r="R154" i="32"/>
  <c r="P186" i="32"/>
  <c r="R6" i="24"/>
  <c r="P55" i="28"/>
  <c r="Q22" i="18" s="1"/>
  <c r="P56"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P252" i="32"/>
  <c r="Q4" i="18"/>
  <c r="R6" i="19" s="1"/>
  <c r="AW6" i="19" s="1"/>
  <c r="Q27" i="28"/>
  <c r="T64" i="28" s="1"/>
  <c r="P55" i="32"/>
  <c r="P56" i="32" s="1"/>
  <c r="P218" i="32"/>
  <c r="P120" i="32"/>
  <c r="P283" i="32"/>
  <c r="P284"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83" i="32" l="1"/>
  <c r="T83" i="32" s="1"/>
  <c r="R88" i="32"/>
  <c r="T86" i="32"/>
  <c r="R13" i="26"/>
  <c r="T13" i="26" s="1"/>
  <c r="P14" i="32"/>
  <c r="P15" i="32" s="1"/>
  <c r="Q7" i="18"/>
  <c r="R150" i="32"/>
  <c r="R149" i="32"/>
  <c r="T11" i="23"/>
  <c r="U11" i="25" s="1"/>
  <c r="R14" i="26"/>
  <c r="T14" i="26" s="1"/>
  <c r="R217" i="26"/>
  <c r="T215" i="32"/>
  <c r="R216" i="32"/>
  <c r="P18" i="18"/>
  <c r="P24" i="18" s="1"/>
  <c r="Q18" i="18"/>
  <c r="R141" i="26"/>
  <c r="R143" i="26" s="1"/>
  <c r="T153" i="26"/>
  <c r="T219" i="26"/>
  <c r="T267" i="32"/>
  <c r="T235" i="32"/>
  <c r="T214" i="32"/>
  <c r="T101" i="32"/>
  <c r="T135" i="32"/>
  <c r="T71" i="32"/>
  <c r="T169" i="32"/>
  <c r="P57" i="28"/>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T84" i="32"/>
  <c r="T266" i="32"/>
  <c r="T134" i="32"/>
  <c r="R4" i="18"/>
  <c r="S6" i="19" s="1"/>
  <c r="AX6" i="19" s="1"/>
  <c r="R27" i="28"/>
  <c r="U64" i="28" s="1"/>
  <c r="R251" i="32"/>
  <c r="T251" i="32" s="1"/>
  <c r="T250" i="32"/>
  <c r="R136" i="32"/>
  <c r="T136" i="32" s="1"/>
  <c r="T132" i="32"/>
  <c r="U232" i="32"/>
  <c r="U228" i="32"/>
  <c r="U226" i="32"/>
  <c r="U227" i="32"/>
  <c r="R236" i="32"/>
  <c r="T236" i="32" s="1"/>
  <c r="R284" i="32"/>
  <c r="T284" i="32" s="1"/>
  <c r="T280" i="32"/>
  <c r="T182" i="32"/>
  <c r="T167" i="32"/>
  <c r="T200" i="32"/>
  <c r="R39" i="32"/>
  <c r="T39" i="32" s="1"/>
  <c r="T37" i="32"/>
  <c r="R55" i="32"/>
  <c r="T55" i="32" s="1"/>
  <c r="T54" i="32"/>
  <c r="R268" i="32"/>
  <c r="T268" i="32" s="1"/>
  <c r="T264" i="32"/>
  <c r="T148"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6" i="32" l="1"/>
  <c r="R217" i="32"/>
  <c r="Q24" i="18"/>
  <c r="R151" i="32"/>
  <c r="T151" i="32" s="1"/>
  <c r="R13" i="32"/>
  <c r="T13" i="32" s="1"/>
  <c r="R14" i="32"/>
  <c r="T14" i="32" s="1"/>
  <c r="Q55" i="28"/>
  <c r="R22" i="18" s="1"/>
  <c r="R15" i="26"/>
  <c r="T15" i="26" s="1"/>
  <c r="W15" i="26" s="1"/>
  <c r="T141" i="26"/>
  <c r="U141" i="26" s="1"/>
  <c r="T217" i="26"/>
  <c r="R218" i="26"/>
  <c r="T218" i="26" s="1"/>
  <c r="R120" i="32"/>
  <c r="T120" i="32" s="1"/>
  <c r="U208" i="32"/>
  <c r="U214" i="32"/>
  <c r="R252" i="32"/>
  <c r="T252" i="32" s="1"/>
  <c r="Q56" i="28"/>
  <c r="R40" i="32"/>
  <c r="T40" i="32" s="1"/>
  <c r="U35" i="32"/>
  <c r="U36" i="32"/>
  <c r="U128" i="32"/>
  <c r="U127" i="32"/>
  <c r="U126" i="32"/>
  <c r="U132" i="32"/>
  <c r="U198" i="32"/>
  <c r="U194" i="32"/>
  <c r="U192" i="32"/>
  <c r="U193" i="32"/>
  <c r="U116" i="32"/>
  <c r="U110" i="32"/>
  <c r="T6" i="24"/>
  <c r="U83" i="32"/>
  <c r="U84" i="32"/>
  <c r="T88" i="32"/>
  <c r="T87" i="32"/>
  <c r="U166" i="32"/>
  <c r="U165" i="32"/>
  <c r="U52" i="32"/>
  <c r="U182" i="32"/>
  <c r="U176" i="32"/>
  <c r="U68" i="32"/>
  <c r="U63" i="32"/>
  <c r="U62" i="32"/>
  <c r="U64" i="32"/>
  <c r="R56" i="32"/>
  <c r="T56" i="32" s="1"/>
  <c r="U148" i="32"/>
  <c r="U142" i="32"/>
  <c r="R186" i="32"/>
  <c r="T186" i="32" s="1"/>
  <c r="S4" i="18"/>
  <c r="T6" i="19" s="1"/>
  <c r="AY6" i="19" s="1"/>
  <c r="S27" i="28"/>
  <c r="V64" i="28" s="1"/>
  <c r="U258" i="32"/>
  <c r="U264" i="32"/>
  <c r="U260" i="32"/>
  <c r="U259" i="32"/>
  <c r="U280" i="32"/>
  <c r="U275" i="32"/>
  <c r="U274" i="32"/>
  <c r="U276" i="32"/>
  <c r="U248" i="32"/>
  <c r="U243" i="32"/>
  <c r="U244" i="32"/>
  <c r="U242" i="32"/>
  <c r="U99" i="32"/>
  <c r="U100" i="32"/>
  <c r="R41" i="28"/>
  <c r="Q42" i="28"/>
  <c r="T209" i="26"/>
  <c r="U209" i="26" s="1"/>
  <c r="T161" i="26"/>
  <c r="U161" i="26" s="1"/>
  <c r="R162" i="26"/>
  <c r="T143" i="26"/>
  <c r="U143" i="26" s="1"/>
  <c r="R80" i="26"/>
  <c r="T79" i="26"/>
  <c r="U79" i="26" s="1"/>
  <c r="V6" i="25"/>
  <c r="V20" i="25" s="1"/>
  <c r="U6" i="23"/>
  <c r="U21" i="23" s="1"/>
  <c r="U35" i="23" s="1"/>
  <c r="U5" i="6"/>
  <c r="U5" i="7"/>
  <c r="T217" i="32" l="1"/>
  <c r="R218" i="32"/>
  <c r="T218" i="32" s="1"/>
  <c r="R152" i="32"/>
  <c r="T152" i="32" s="1"/>
  <c r="R15" i="32"/>
  <c r="T15" i="32" s="1"/>
  <c r="V15" i="32" s="1"/>
  <c r="Q57" i="28"/>
  <c r="R23" i="18"/>
  <c r="R18" i="18" s="1"/>
  <c r="U6" i="24"/>
  <c r="R56" i="28"/>
  <c r="S23"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R7" i="18" l="1"/>
  <c r="R24" i="18" s="1"/>
  <c r="T212" i="26"/>
  <c r="U212" i="26" s="1"/>
  <c r="R213" i="26"/>
  <c r="T213" i="26" s="1"/>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2" i="32"/>
  <c r="L106"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1" i="32"/>
  <c r="F51" i="32"/>
  <c r="H51" i="32"/>
  <c r="J51" i="32"/>
  <c r="L51" i="32"/>
  <c r="N51" i="32"/>
  <c r="P51" i="32"/>
  <c r="R5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1" i="32"/>
  <c r="U51"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R112" i="26"/>
  <c r="F5" i="26"/>
  <c r="J47" i="26"/>
  <c r="D112" i="26"/>
  <c r="P112" i="26"/>
  <c r="F178" i="26"/>
  <c r="F181" i="26" s="1"/>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D114" i="26"/>
  <c r="D115" i="26"/>
  <c r="P114" i="26"/>
  <c r="P115" i="26"/>
  <c r="R114" i="26"/>
  <c r="R115" i="26"/>
  <c r="J48" i="26"/>
  <c r="J50" i="26" s="1"/>
  <c r="AJ56" i="28"/>
  <c r="AJ57" i="28" s="1"/>
  <c r="T46" i="26"/>
  <c r="U46" i="26" s="1"/>
  <c r="T6" i="26"/>
  <c r="AK40" i="28"/>
  <c r="AL39" i="28" s="1"/>
  <c r="AL13" i="25"/>
  <c r="G11" i="25"/>
  <c r="H11" i="25"/>
  <c r="AK55" i="28"/>
  <c r="AK57" i="28" s="1"/>
  <c r="P7" i="26"/>
  <c r="R178" i="26"/>
  <c r="R181" i="26" s="1"/>
  <c r="H178" i="26"/>
  <c r="H181" i="26" s="1"/>
  <c r="L48" i="26"/>
  <c r="L50" i="26" s="1"/>
  <c r="H7" i="26"/>
  <c r="F7" i="26"/>
  <c r="N112" i="26"/>
  <c r="F112" i="26"/>
  <c r="F115" i="26" s="1"/>
  <c r="J7" i="26"/>
  <c r="D7" i="26"/>
  <c r="L178" i="26"/>
  <c r="L181" i="26" s="1"/>
  <c r="J112" i="26"/>
  <c r="L112" i="26"/>
  <c r="N178" i="26"/>
  <c r="N181" i="26" s="1"/>
  <c r="H112" i="26"/>
  <c r="T47" i="26"/>
  <c r="U47" i="26" s="1"/>
  <c r="D178" i="26"/>
  <c r="D181" i="26" s="1"/>
  <c r="N7" i="26"/>
  <c r="P178" i="26"/>
  <c r="P181" i="26" s="1"/>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P180" i="26" l="1"/>
  <c r="L180" i="26"/>
  <c r="H180" i="26"/>
  <c r="N180" i="26"/>
  <c r="R180" i="26"/>
  <c r="J180" i="26"/>
  <c r="D180"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B229" i="32" l="1"/>
  <c r="B33" i="32"/>
  <c r="W19" i="32"/>
  <c r="AN41" i="28"/>
  <c r="AN56" i="28" s="1"/>
  <c r="AN40" i="28"/>
  <c r="AO39" i="28" s="1"/>
  <c r="B7" i="26"/>
  <c r="B32" i="26"/>
  <c r="B77" i="32" l="1"/>
  <c r="B78" i="32" s="1"/>
  <c r="P77" i="32"/>
  <c r="P78" i="32" s="1"/>
  <c r="N77" i="32"/>
  <c r="N78" i="32" s="1"/>
  <c r="R77" i="32"/>
  <c r="R78" i="32" s="1"/>
  <c r="L77" i="32"/>
  <c r="L78" i="32" s="1"/>
  <c r="J77" i="32"/>
  <c r="J78" i="32" s="1"/>
  <c r="H77" i="32"/>
  <c r="H78" i="32" s="1"/>
  <c r="F77" i="32"/>
  <c r="F78" i="32" s="1"/>
  <c r="D77" i="32"/>
  <c r="D78" i="32" s="1"/>
  <c r="B29" i="32"/>
  <c r="B225" i="32"/>
  <c r="B30" i="32"/>
  <c r="H219" i="32"/>
  <c r="R65" i="32"/>
  <c r="P195" i="32"/>
  <c r="N65" i="32"/>
  <c r="L163" i="32"/>
  <c r="L261" i="32"/>
  <c r="F129" i="32"/>
  <c r="B97" i="32"/>
  <c r="R129" i="32"/>
  <c r="P163" i="32"/>
  <c r="P49" i="32"/>
  <c r="N179" i="32"/>
  <c r="L229" i="32"/>
  <c r="J245" i="32"/>
  <c r="F49" i="32"/>
  <c r="N277" i="32"/>
  <c r="N163"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P245" i="32"/>
  <c r="N229" i="32"/>
  <c r="N129" i="32"/>
  <c r="L97" i="32"/>
  <c r="H129" i="32"/>
  <c r="D179" i="32"/>
  <c r="F33" i="32"/>
  <c r="R113" i="32"/>
  <c r="N113" i="32"/>
  <c r="L129" i="32"/>
  <c r="P65" i="32"/>
  <c r="J277" i="32"/>
  <c r="R229" i="32"/>
  <c r="R163" i="32"/>
  <c r="P129" i="32"/>
  <c r="N245" i="32"/>
  <c r="L113" i="32"/>
  <c r="H163" i="32"/>
  <c r="D49" i="32"/>
  <c r="J33" i="32"/>
  <c r="H245" i="32"/>
  <c r="F97" i="32"/>
  <c r="D229" i="32"/>
  <c r="D277" i="32"/>
  <c r="B245" i="32"/>
  <c r="H153" i="32"/>
  <c r="R219" i="32"/>
  <c r="B65" i="32"/>
  <c r="B129" i="32"/>
  <c r="F153" i="32"/>
  <c r="N219" i="32"/>
  <c r="J229" i="32"/>
  <c r="J113" i="32"/>
  <c r="H65" i="32"/>
  <c r="F261" i="32"/>
  <c r="D195" i="32"/>
  <c r="B277" i="32"/>
  <c r="B163" i="32"/>
  <c r="D153" i="32"/>
  <c r="B219" i="32"/>
  <c r="L277" i="32"/>
  <c r="J261" i="32"/>
  <c r="J49" i="32"/>
  <c r="H195" i="32"/>
  <c r="F245" i="32"/>
  <c r="D113" i="32"/>
  <c r="P33" i="32"/>
  <c r="J219" i="32"/>
  <c r="N97" i="32"/>
  <c r="L195" i="32"/>
  <c r="J65" i="32"/>
  <c r="H277" i="32"/>
  <c r="H26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H229" i="32"/>
  <c r="H49" i="32"/>
  <c r="F113" i="32"/>
  <c r="F65" i="32"/>
  <c r="D163" i="32"/>
  <c r="B179" i="32"/>
  <c r="N153" i="32"/>
  <c r="L33" i="32"/>
  <c r="P219" i="32"/>
  <c r="AN55" i="28"/>
  <c r="AN57" i="28" s="1"/>
  <c r="AN42"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33" i="32"/>
  <c r="U33"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7" i="32" l="1"/>
  <c r="D209" i="32" s="1"/>
  <c r="B207" i="32"/>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61" i="32"/>
  <c r="J66" i="32" s="1"/>
  <c r="J67" i="32" s="1"/>
  <c r="F273" i="32"/>
  <c r="F241" i="32"/>
  <c r="P191" i="32"/>
  <c r="P196" i="32" s="1"/>
  <c r="P197" i="32" s="1"/>
  <c r="P159" i="32"/>
  <c r="L125" i="32"/>
  <c r="L130" i="32" s="1"/>
  <c r="L131" i="32" s="1"/>
  <c r="L93" i="32"/>
  <c r="L61" i="32"/>
  <c r="L66" i="32" s="1"/>
  <c r="L67" i="32" s="1"/>
  <c r="H273" i="32"/>
  <c r="H241" i="32"/>
  <c r="B191" i="32"/>
  <c r="B159" i="32"/>
  <c r="N125" i="32"/>
  <c r="N130" i="32" s="1"/>
  <c r="N131" i="32" s="1"/>
  <c r="N93" i="32"/>
  <c r="N61" i="32"/>
  <c r="N66" i="32" s="1"/>
  <c r="N67" i="32" s="1"/>
  <c r="P61" i="32"/>
  <c r="P66" i="32" s="1"/>
  <c r="P67" i="32" s="1"/>
  <c r="R241" i="32"/>
  <c r="L159" i="32"/>
  <c r="H93" i="32"/>
  <c r="J273" i="32"/>
  <c r="J241" i="32"/>
  <c r="N191" i="32"/>
  <c r="N196" i="32" s="1"/>
  <c r="N197" i="32" s="1"/>
  <c r="D159" i="32"/>
  <c r="P125" i="32"/>
  <c r="P130" i="32" s="1"/>
  <c r="P131" i="32" s="1"/>
  <c r="P93" i="32"/>
  <c r="L273" i="32"/>
  <c r="L241" i="32"/>
  <c r="D191" i="32"/>
  <c r="D196" i="32" s="1"/>
  <c r="D197" i="32" s="1"/>
  <c r="F159" i="32"/>
  <c r="B141" i="32"/>
  <c r="B143" i="32" s="1"/>
  <c r="B125" i="32"/>
  <c r="B93" i="32"/>
  <c r="B61" i="32"/>
  <c r="H125" i="32"/>
  <c r="H130" i="32" s="1"/>
  <c r="H131" i="32" s="1"/>
  <c r="N273" i="32"/>
  <c r="N241" i="32"/>
  <c r="F191" i="32"/>
  <c r="F196" i="32" s="1"/>
  <c r="F197" i="32" s="1"/>
  <c r="H159" i="32"/>
  <c r="D125" i="32"/>
  <c r="D130" i="32" s="1"/>
  <c r="D131" i="32" s="1"/>
  <c r="D93" i="32"/>
  <c r="D61" i="32"/>
  <c r="D66" i="32" s="1"/>
  <c r="D67" i="32" s="1"/>
  <c r="R273" i="32"/>
  <c r="J191" i="32"/>
  <c r="J196" i="32" s="1"/>
  <c r="J197" i="32" s="1"/>
  <c r="H61" i="32"/>
  <c r="H66" i="32" s="1"/>
  <c r="H67" i="32" s="1"/>
  <c r="P273" i="32"/>
  <c r="P241" i="32"/>
  <c r="H191" i="32"/>
  <c r="H196" i="32" s="1"/>
  <c r="H197" i="32" s="1"/>
  <c r="J159" i="32"/>
  <c r="F125" i="32"/>
  <c r="F130" i="32" s="1"/>
  <c r="F131" i="32" s="1"/>
  <c r="F93" i="32"/>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L225" i="32"/>
  <c r="H257" i="32"/>
  <c r="R225" i="32"/>
  <c r="R257" i="32"/>
  <c r="J257" i="32"/>
  <c r="N225" i="32"/>
  <c r="F225" i="32"/>
  <c r="L257" i="32"/>
  <c r="D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5" i="28"/>
  <c r="AS57" i="28" s="1"/>
  <c r="AS42" i="28"/>
  <c r="B273" i="32"/>
  <c r="B257" i="32"/>
  <c r="B241" i="32"/>
  <c r="R159" i="32"/>
  <c r="R125" i="32"/>
  <c r="R130" i="32" s="1"/>
  <c r="R131" i="32" s="1"/>
  <c r="R191" i="32"/>
  <c r="R196" i="32" s="1"/>
  <c r="R197" i="32" s="1"/>
  <c r="R93" i="32"/>
  <c r="R61" i="32"/>
  <c r="R66" i="32" s="1"/>
  <c r="R67" i="32" s="1"/>
  <c r="R175" i="32"/>
  <c r="R109" i="32"/>
  <c r="B5" i="32" l="1"/>
  <c r="B209" i="32"/>
  <c r="T94" i="32"/>
  <c r="U94" i="32" s="1"/>
  <c r="T160" i="32"/>
  <c r="U160" i="32" s="1"/>
  <c r="T46" i="32"/>
  <c r="U46" i="32" s="1"/>
  <c r="J6" i="32"/>
  <c r="N6" i="32"/>
  <c r="B6" i="32"/>
  <c r="R6" i="32"/>
  <c r="M13" i="18" s="1"/>
  <c r="D6" i="32"/>
  <c r="F13" i="18" s="1"/>
  <c r="T30" i="32"/>
  <c r="U30" i="32" s="1"/>
  <c r="H6" i="32"/>
  <c r="H13" i="18" s="1"/>
  <c r="F6" i="32"/>
  <c r="G13" i="18" s="1"/>
  <c r="P6" i="32"/>
  <c r="L13" i="18" s="1"/>
  <c r="L9" i="32"/>
  <c r="J16" i="18" s="1"/>
  <c r="H210" i="32"/>
  <c r="H212" i="32" s="1"/>
  <c r="H213" i="32" s="1"/>
  <c r="D9" i="32"/>
  <c r="F16" i="18" s="1"/>
  <c r="B210" i="32"/>
  <c r="P9" i="32"/>
  <c r="L16" i="18" s="1"/>
  <c r="R9" i="32"/>
  <c r="M16" i="18" s="1"/>
  <c r="J9" i="32"/>
  <c r="I16" i="18" s="1"/>
  <c r="H9" i="32"/>
  <c r="H16" i="18" s="1"/>
  <c r="N9" i="32"/>
  <c r="K16" i="18" s="1"/>
  <c r="F9" i="32"/>
  <c r="G16" i="18" s="1"/>
  <c r="T211" i="32"/>
  <c r="U211" i="32" s="1"/>
  <c r="AT40" i="28"/>
  <c r="AU39" i="28" s="1"/>
  <c r="AT41" i="28"/>
  <c r="AT56" i="28" s="1"/>
  <c r="N247" i="32"/>
  <c r="N246" i="32"/>
  <c r="H279" i="32"/>
  <c r="H278" i="32"/>
  <c r="T159" i="32"/>
  <c r="U159" i="32" s="1"/>
  <c r="R161" i="32"/>
  <c r="R162" i="32" s="1"/>
  <c r="P47" i="32"/>
  <c r="P48" i="32" s="1"/>
  <c r="R177" i="32"/>
  <c r="R178" i="32" s="1"/>
  <c r="R181" i="32" s="1"/>
  <c r="R231" i="32"/>
  <c r="R230" i="32"/>
  <c r="P95" i="32"/>
  <c r="P96" i="32" s="1"/>
  <c r="N95" i="32"/>
  <c r="N96" i="32" s="1"/>
  <c r="N31" i="32"/>
  <c r="N32" i="32" s="1"/>
  <c r="N5" i="32"/>
  <c r="L5" i="32"/>
  <c r="L31" i="32"/>
  <c r="L32" i="32" s="1"/>
  <c r="L34" i="32" s="1"/>
  <c r="L210" i="32"/>
  <c r="J47" i="32"/>
  <c r="J48" i="32" s="1"/>
  <c r="J50" i="32" s="1"/>
  <c r="H82" i="32"/>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P181"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1" i="32" s="1"/>
  <c r="P262" i="32"/>
  <c r="P263" i="32"/>
  <c r="L47" i="32"/>
  <c r="L48" i="32" s="1"/>
  <c r="J5" i="32"/>
  <c r="J31" i="32"/>
  <c r="H262" i="32"/>
  <c r="H263" i="32"/>
  <c r="F246" i="32"/>
  <c r="F247" i="32"/>
  <c r="F230" i="32"/>
  <c r="F231" i="32"/>
  <c r="D246" i="32"/>
  <c r="D247" i="32"/>
  <c r="D82" i="32"/>
  <c r="B111" i="32"/>
  <c r="B112" i="32" s="1"/>
  <c r="B115" i="32" s="1"/>
  <c r="T109" i="32"/>
  <c r="U109" i="32" s="1"/>
  <c r="R47" i="32"/>
  <c r="R143" i="32"/>
  <c r="P31" i="32"/>
  <c r="P32" i="32" s="1"/>
  <c r="P5" i="32"/>
  <c r="P230" i="32"/>
  <c r="P231" i="32"/>
  <c r="N47" i="32"/>
  <c r="N48" i="32" s="1"/>
  <c r="N50" i="32" s="1"/>
  <c r="N177" i="32"/>
  <c r="N178" i="32" s="1"/>
  <c r="N181" i="32" s="1"/>
  <c r="L143" i="32"/>
  <c r="L161" i="32"/>
  <c r="L162" i="32" s="1"/>
  <c r="L164" i="32" s="1"/>
  <c r="J95" i="32"/>
  <c r="J96" i="32" s="1"/>
  <c r="J98" i="32" s="1"/>
  <c r="J143" i="32"/>
  <c r="H111" i="32"/>
  <c r="H112" i="32" s="1"/>
  <c r="H115" i="32" s="1"/>
  <c r="F210" i="32"/>
  <c r="D262" i="32"/>
  <c r="D263" i="32"/>
  <c r="D143" i="32"/>
  <c r="B66" i="32"/>
  <c r="T61" i="32"/>
  <c r="U61" i="32" s="1"/>
  <c r="B130" i="32"/>
  <c r="T125" i="32"/>
  <c r="U125" i="32" s="1"/>
  <c r="R210" i="32"/>
  <c r="R212" i="32" s="1"/>
  <c r="R213" i="32" s="1"/>
  <c r="R31" i="32"/>
  <c r="R32" i="32" s="1"/>
  <c r="R34" i="32" s="1"/>
  <c r="R5" i="32"/>
  <c r="P111" i="32"/>
  <c r="P112" i="32" s="1"/>
  <c r="P115" i="32" s="1"/>
  <c r="P210" i="32"/>
  <c r="P212" i="32" s="1"/>
  <c r="P213" i="32" s="1"/>
  <c r="N263" i="32"/>
  <c r="N262" i="32"/>
  <c r="L246" i="32"/>
  <c r="L247" i="32"/>
  <c r="J111" i="32"/>
  <c r="J112" i="32" s="1"/>
  <c r="J115" i="32" s="1"/>
  <c r="J177" i="32"/>
  <c r="J178" i="32" s="1"/>
  <c r="J181" i="32" s="1"/>
  <c r="H177" i="32"/>
  <c r="H178" i="32" s="1"/>
  <c r="H181" i="32" s="1"/>
  <c r="H47" i="32"/>
  <c r="H48" i="32" s="1"/>
  <c r="H50" i="32" s="1"/>
  <c r="F177" i="32"/>
  <c r="F178" i="32" s="1"/>
  <c r="F181" i="32" s="1"/>
  <c r="F111" i="32"/>
  <c r="F112" i="32" s="1"/>
  <c r="F115" i="32" s="1"/>
  <c r="D177" i="32"/>
  <c r="D178" i="32" s="1"/>
  <c r="D181" i="32" s="1"/>
  <c r="D47" i="32"/>
  <c r="D48" i="32" s="1"/>
  <c r="B95" i="32"/>
  <c r="B96" i="32" s="1"/>
  <c r="B31" i="32"/>
  <c r="T29" i="32"/>
  <c r="U29" i="32" s="1"/>
  <c r="P161" i="32"/>
  <c r="P162" i="32" s="1"/>
  <c r="T77" i="32"/>
  <c r="U77" i="32" s="1"/>
  <c r="T93" i="32"/>
  <c r="U93" i="32" s="1"/>
  <c r="R95" i="32"/>
  <c r="R96" i="32" s="1"/>
  <c r="R98" i="32" s="1"/>
  <c r="N231" i="32"/>
  <c r="N230" i="32"/>
  <c r="R111" i="32"/>
  <c r="R112" i="32" s="1"/>
  <c r="R115" i="32" s="1"/>
  <c r="P278" i="32"/>
  <c r="P279" i="32"/>
  <c r="P246" i="32"/>
  <c r="P247" i="32"/>
  <c r="N161" i="32"/>
  <c r="N162" i="32" s="1"/>
  <c r="N111" i="32"/>
  <c r="N112" i="32" s="1"/>
  <c r="N115" i="32" s="1"/>
  <c r="L230" i="32"/>
  <c r="L231" i="32"/>
  <c r="L111" i="32"/>
  <c r="L112" i="32" s="1"/>
  <c r="L115" i="32" s="1"/>
  <c r="J161" i="32"/>
  <c r="J162" i="32" s="1"/>
  <c r="H230" i="32"/>
  <c r="H231" i="32"/>
  <c r="F278" i="32"/>
  <c r="F279" i="32"/>
  <c r="F143" i="32"/>
  <c r="D111" i="32"/>
  <c r="D112" i="32" s="1"/>
  <c r="D115" i="32" s="1"/>
  <c r="B196" i="32"/>
  <c r="T191" i="32"/>
  <c r="U191" i="32" s="1"/>
  <c r="B278" i="32"/>
  <c r="B279" i="32"/>
  <c r="T273" i="32"/>
  <c r="U273" i="32" s="1"/>
  <c r="T78" i="32" l="1"/>
  <c r="U78" i="32" s="1"/>
  <c r="B212" i="32"/>
  <c r="B213" i="32" s="1"/>
  <c r="J114" i="32"/>
  <c r="H114" i="32"/>
  <c r="N114" i="32"/>
  <c r="D114" i="32"/>
  <c r="P114" i="32"/>
  <c r="L180" i="32"/>
  <c r="J180" i="32"/>
  <c r="N180" i="32"/>
  <c r="D180" i="32"/>
  <c r="H180" i="32"/>
  <c r="K13" i="18"/>
  <c r="I13" i="18"/>
  <c r="L6" i="32"/>
  <c r="J13" i="18" s="1"/>
  <c r="L82" i="32"/>
  <c r="E13" i="18"/>
  <c r="AU41" i="28"/>
  <c r="AU56" i="28" s="1"/>
  <c r="AU40" i="28"/>
  <c r="AV39" i="28" s="1"/>
  <c r="AT55" i="28"/>
  <c r="AT57" i="28" s="1"/>
  <c r="AT42"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1" i="32" s="1"/>
  <c r="T177" i="32"/>
  <c r="U177" i="32" s="1"/>
  <c r="L7" i="32"/>
  <c r="T111" i="32"/>
  <c r="U111" i="32" s="1"/>
  <c r="T279" i="32"/>
  <c r="U279" i="32" s="1"/>
  <c r="R7" i="32"/>
  <c r="B67" i="32"/>
  <c r="T66" i="32"/>
  <c r="U66" i="32" s="1"/>
  <c r="F212" i="32"/>
  <c r="F213" i="32" s="1"/>
  <c r="T143" i="32"/>
  <c r="U143" i="32" s="1"/>
  <c r="J32" i="32"/>
  <c r="N82" i="32"/>
  <c r="B82" i="32"/>
  <c r="N34" i="32"/>
  <c r="P82" i="32"/>
  <c r="B180" i="32" l="1"/>
  <c r="T180" i="32" s="1"/>
  <c r="U180" i="32" s="1"/>
  <c r="T181" i="32"/>
  <c r="U181" i="32" s="1"/>
  <c r="T115" i="32"/>
  <c r="U115" i="32" s="1"/>
  <c r="T6" i="32"/>
  <c r="T213" i="32"/>
  <c r="U213" i="32" s="1"/>
  <c r="L14" i="18"/>
  <c r="M14" i="18"/>
  <c r="G14" i="18"/>
  <c r="I14" i="18"/>
  <c r="J14" i="18"/>
  <c r="K14" i="18"/>
  <c r="H14" i="18"/>
  <c r="AV41" i="28"/>
  <c r="AV56" i="28" s="1"/>
  <c r="AV40" i="28"/>
  <c r="AW39" i="28" s="1"/>
  <c r="AU42" i="28"/>
  <c r="AU55" i="28"/>
  <c r="AU57" i="28" s="1"/>
  <c r="T212" i="32"/>
  <c r="U212" i="32" s="1"/>
  <c r="E14" i="18"/>
  <c r="T98" i="32"/>
  <c r="U98" i="32" s="1"/>
  <c r="F14" i="18"/>
  <c r="T178" i="32"/>
  <c r="U178" i="32" s="1"/>
  <c r="T162" i="32"/>
  <c r="U162" i="32" s="1"/>
  <c r="J34" i="32"/>
  <c r="T32" i="32"/>
  <c r="U32" i="32" s="1"/>
  <c r="B34" i="32"/>
  <c r="T82" i="32"/>
  <c r="U82" i="32" s="1"/>
  <c r="T7" i="32"/>
  <c r="F50" i="32"/>
  <c r="T50" i="32" s="1"/>
  <c r="U50" i="32" s="1"/>
  <c r="T164" i="32"/>
  <c r="U164" i="32" s="1"/>
  <c r="T67" i="32"/>
  <c r="U67" i="32" s="1"/>
  <c r="T114" i="32"/>
  <c r="U114" i="32" s="1"/>
  <c r="T48" i="32"/>
  <c r="U48" i="32" s="1"/>
  <c r="AV55" i="28" l="1"/>
  <c r="AV57" i="28" s="1"/>
  <c r="AV42" i="28"/>
  <c r="T34" i="32"/>
  <c r="U34"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5" i="32"/>
  <c r="U145" i="32" s="1"/>
  <c r="T141" i="32"/>
  <c r="U141" i="32" s="1"/>
  <c r="B9" i="32"/>
  <c r="T5" i="32"/>
  <c r="E12" i="18" l="1"/>
  <c r="AI12" i="18" s="1"/>
  <c r="T9" i="32"/>
  <c r="B18" i="32" s="1"/>
  <c r="E16" i="18"/>
  <c r="N144" i="26" l="1"/>
  <c r="N8" i="26" s="1"/>
  <c r="N10" i="26" s="1"/>
  <c r="N146" i="26" l="1"/>
  <c r="N147" i="26" s="1"/>
  <c r="N11" i="26" s="1"/>
  <c r="N12" i="26" s="1"/>
  <c r="N16" i="26" s="1"/>
  <c r="D144" i="26"/>
  <c r="J144" i="26"/>
  <c r="B144" i="26"/>
  <c r="N144" i="32"/>
  <c r="N8" i="32" s="1"/>
  <c r="D144" i="32"/>
  <c r="D8" i="32" s="1"/>
  <c r="R144" i="32"/>
  <c r="B144" i="32"/>
  <c r="R144" i="26"/>
  <c r="K15" i="18" l="1"/>
  <c r="D10" i="32"/>
  <c r="F15" i="18"/>
  <c r="D146" i="26"/>
  <c r="D147" i="26" s="1"/>
  <c r="D11" i="26" s="1"/>
  <c r="D8" i="26"/>
  <c r="D10" i="26" s="1"/>
  <c r="J8" i="26"/>
  <c r="J10" i="26" s="1"/>
  <c r="J146" i="26"/>
  <c r="J147" i="26" s="1"/>
  <c r="J11" i="26" s="1"/>
  <c r="B146" i="26"/>
  <c r="B147" i="26" s="1"/>
  <c r="B8" i="26"/>
  <c r="B10" i="26" s="1"/>
  <c r="N146" i="32"/>
  <c r="N147" i="32" s="1"/>
  <c r="N11" i="32" s="1"/>
  <c r="N10" i="32"/>
  <c r="D146" i="32"/>
  <c r="D147" i="32" s="1"/>
  <c r="D11" i="32" s="1"/>
  <c r="I12" i="23" s="1"/>
  <c r="J12" i="25" s="1"/>
  <c r="J13" i="25" s="1"/>
  <c r="B8" i="32"/>
  <c r="E15" i="18" s="1"/>
  <c r="B146" i="32"/>
  <c r="B147" i="32" s="1"/>
  <c r="R8" i="32"/>
  <c r="R146" i="32"/>
  <c r="R147" i="32" s="1"/>
  <c r="R11" i="32" s="1"/>
  <c r="R8" i="26"/>
  <c r="R10" i="26" s="1"/>
  <c r="R146" i="26"/>
  <c r="R147" i="26" s="1"/>
  <c r="R11" i="26" s="1"/>
  <c r="K7" i="18" l="1"/>
  <c r="K24" i="18" s="1"/>
  <c r="N12" i="23"/>
  <c r="O12" i="25" s="1"/>
  <c r="O13" i="25" s="1"/>
  <c r="D12" i="26"/>
  <c r="D16" i="26" s="1"/>
  <c r="R12" i="26"/>
  <c r="R16" i="26" s="1"/>
  <c r="J12" i="26"/>
  <c r="J16" i="26" s="1"/>
  <c r="N12" i="32"/>
  <c r="N16" i="32" s="1"/>
  <c r="B11" i="26"/>
  <c r="B12" i="26" s="1"/>
  <c r="B16" i="26" s="1"/>
  <c r="B11" i="32"/>
  <c r="D12" i="32"/>
  <c r="D16" i="32" s="1"/>
  <c r="I13" i="23"/>
  <c r="P12" i="23"/>
  <c r="M15" i="18"/>
  <c r="R10" i="32"/>
  <c r="R12" i="32" s="1"/>
  <c r="R16" i="32" s="1"/>
  <c r="B10" i="32"/>
  <c r="E7" i="18"/>
  <c r="M7" i="18" l="1"/>
  <c r="M24" i="18" s="1"/>
  <c r="N13" i="23"/>
  <c r="H12" i="23"/>
  <c r="I12" i="25" s="1"/>
  <c r="E24" i="18"/>
  <c r="E25" i="18" s="1"/>
  <c r="B12" i="32"/>
  <c r="Q12" i="25"/>
  <c r="Q13" i="25" s="1"/>
  <c r="P13" i="23"/>
  <c r="F7" i="18" l="1"/>
  <c r="F24" i="18" s="1"/>
  <c r="F25" i="18" s="1"/>
  <c r="H13" i="23"/>
  <c r="B16" i="32"/>
  <c r="I13" i="25"/>
  <c r="F144" i="32"/>
  <c r="F8" i="32" s="1"/>
  <c r="F10" i="32" s="1"/>
  <c r="H144" i="32"/>
  <c r="H8" i="32" s="1"/>
  <c r="H15" i="18" s="1"/>
  <c r="J144" i="32"/>
  <c r="J8" i="32" s="1"/>
  <c r="L144" i="32"/>
  <c r="L8" i="32" s="1"/>
  <c r="J15" i="18" s="1"/>
  <c r="P144" i="32"/>
  <c r="P8" i="32" s="1"/>
  <c r="F144" i="26"/>
  <c r="F8" i="26" s="1"/>
  <c r="F10" i="26" s="1"/>
  <c r="H144" i="26"/>
  <c r="H8" i="26" s="1"/>
  <c r="H10" i="26" s="1"/>
  <c r="L144" i="26"/>
  <c r="L146" i="26" s="1"/>
  <c r="L147" i="26" s="1"/>
  <c r="L11" i="26" s="1"/>
  <c r="P144" i="26"/>
  <c r="P8" i="26" s="1"/>
  <c r="P10" i="26" s="1"/>
  <c r="J7" i="18" l="1"/>
  <c r="J24" i="18" s="1"/>
  <c r="F146" i="32"/>
  <c r="F147" i="32" s="1"/>
  <c r="F11" i="32" s="1"/>
  <c r="J12" i="23" s="1"/>
  <c r="K12" i="25" s="1"/>
  <c r="J146" i="32"/>
  <c r="J147" i="32" s="1"/>
  <c r="J11" i="32" s="1"/>
  <c r="L12" i="23"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L15" i="18"/>
  <c r="T144" i="26"/>
  <c r="U144" i="26" s="1"/>
  <c r="P146" i="32"/>
  <c r="P10" i="32"/>
  <c r="T8" i="32"/>
  <c r="L10" i="32"/>
  <c r="I15" i="18"/>
  <c r="G15" i="18"/>
  <c r="J10" i="32"/>
  <c r="H10" i="32"/>
  <c r="I7" i="18" l="1"/>
  <c r="I24" i="18" s="1"/>
  <c r="L7" i="18"/>
  <c r="L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K13" i="25"/>
  <c r="H12" i="32"/>
  <c r="T10" i="32"/>
  <c r="F12" i="26" l="1"/>
  <c r="F16" i="26" s="1"/>
  <c r="T16" i="26" s="1"/>
  <c r="P11" i="32"/>
  <c r="T147" i="32"/>
  <c r="U147" i="32" s="1"/>
  <c r="H16" i="32"/>
  <c r="AI10" i="18" l="1"/>
  <c r="H7" i="18"/>
  <c r="T12" i="26"/>
  <c r="T11" i="32"/>
  <c r="O12" i="23"/>
  <c r="P12" i="32"/>
  <c r="H24" i="18" l="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W12" i="26"/>
  <c r="U9" i="26"/>
  <c r="U5" i="26"/>
  <c r="U7" i="26"/>
  <c r="U11" i="26"/>
  <c r="U8" i="26"/>
  <c r="U10" i="26"/>
  <c r="U12" i="26"/>
  <c r="U6" i="26"/>
  <c r="P16" i="32"/>
  <c r="T16" i="32" s="1"/>
  <c r="T12" i="32"/>
  <c r="U10" i="32" s="1"/>
  <c r="O13" i="23"/>
  <c r="P12" i="25"/>
  <c r="F12" i="23"/>
  <c r="G12" i="23"/>
  <c r="AI25" i="18" l="1"/>
  <c r="P13" i="25"/>
  <c r="G12" i="25"/>
  <c r="H12" i="25"/>
  <c r="U7" i="32"/>
  <c r="U11" i="32"/>
  <c r="U8" i="32"/>
  <c r="V12" i="32"/>
  <c r="U6" i="32"/>
  <c r="U9" i="32"/>
  <c r="U5" i="32"/>
  <c r="U12" i="32"/>
  <c r="I17" i="23"/>
  <c r="E50" i="27" s="1"/>
  <c r="F13" i="23"/>
  <c r="I16" i="23" s="1"/>
  <c r="G13" i="23"/>
  <c r="G16" i="25" l="1"/>
  <c r="E51"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<sst xmlns="http://schemas.openxmlformats.org/spreadsheetml/2006/main" count="2201" uniqueCount="485">
  <si>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</si>
  <si>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</si>
  <si>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</si>
  <si>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</si>
  <si>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</si>
  <si>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</si>
  <si>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</si>
  <si>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</si>
  <si>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</si>
  <si>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</si>
  <si>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</si>
  <si>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</si>
  <si>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</si>
  <si>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4.1.1.1. pasākuma "Ārstniecības iestāžu infrastruktūras attīstība" otrās kārtas īstenošanas noteikumi</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</si>
  <si>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</si>
  <si>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</si>
  <si>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</si>
  <si>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</si>
  <si>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</si>
  <si>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</si>
  <si>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</si>
  <si>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</si>
  <si>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</si>
  <si>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</si>
  <si>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</si>
  <si>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</si>
  <si>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</si>
  <si>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</si>
  <si>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</si>
  <si>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</si>
  <si>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</si>
  <si>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</si>
  <si>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</si>
  <si>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</si>
  <si>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</si>
  <si>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</si>
  <si>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</si>
  <si>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</si>
  <si>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</si>
  <si>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</si>
  <si>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</si>
  <si>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</si>
  <si>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</si>
  <si>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</si>
  <si>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</si>
  <si>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</si>
  <si>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</si>
  <si>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</si>
  <si>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</si>
  <si>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</si>
  <si>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</si>
  <si>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</si>
  <si>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</si>
  <si>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</si>
  <si>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</si>
  <si>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</si>
  <si>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</si>
  <si>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</si>
  <si>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</si>
  <si>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</si>
  <si>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</si>
  <si>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</si>
  <si>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</si>
  <si>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</si>
  <si>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</si>
  <si>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</si>
  <si>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</si>
  <si>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</si>
  <si>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</si>
  <si>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</si>
  <si>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</si>
  <si>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</si>
  <si>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</si>
  <si>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</si>
  <si>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</si>
  <si>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</si>
  <si>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</si>
  <si>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</si>
  <si>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</si>
  <si>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</si>
  <si>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</si>
  <si>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</si>
  <si>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</si>
  <si>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</si>
  <si>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</si>
  <si>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</si>
  <si>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</si>
  <si>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</si>
  <si>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</si>
  <si>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</si>
  <si>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</si>
  <si>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</si>
  <si>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</si>
  <si>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</si>
  <si>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</si>
  <si>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</si>
  <si>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</si>
  <si>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</si>
  <si>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</si>
  <si>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</si>
  <si>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</si>
  <si>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</si>
  <si>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</si>
  <si>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</si>
  <si>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</si>
  <si>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</si>
  <si>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</si>
  <si>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</si>
  <si>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</si>
  <si>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</si>
  <si>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</si>
  <si>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nav</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</si>
  <si>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</si>
  <si>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</si>
  <si>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</si>
  <si>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</si>
  <si>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</si>
  <si>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</si>
  <si>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</si>
  <si>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</si>
  <si>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</si>
  <si>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</si>
  <si>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</si>
  <si>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</si>
  <si>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</si>
  <si>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</si>
  <si>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</si>
  <si>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</si>
  <si>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</si>
  <si>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</si>
  <si>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</si>
  <si>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</si>
  <si>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</si>
  <si>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</si>
  <si>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</si>
  <si>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</si>
  <si>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</si>
  <si>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</si>
  <si>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</si>
  <si>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</si>
  <si>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</si>
  <si>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</si>
  <si>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</si>
  <si>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</si>
  <si>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</si>
  <si>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</si>
  <si>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</si>
  <si>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</si>
  <si>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</si>
  <si>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</si>
  <si>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</si>
  <si>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</si>
  <si>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</si>
  <si>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</si>
  <si>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</si>
  <si>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</si>
  <si>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</si>
  <si>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</si>
  <si>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</si>
  <si>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</si>
  <si>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</si>
  <si>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</si>
  <si>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</si>
  <si>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</si>
  <si>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</si>
  <si>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</si>
  <si>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</si>
  <si>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</si>
  <si>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</si>
  <si>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</si>
  <si>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</si>
  <si>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</si>
  <si>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</si>
  <si>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</si>
  <si>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</si>
  <si>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</si>
  <si>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</si>
  <si>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</si>
  <si>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</si>
  <si>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</si>
  <si>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</si>
  <si>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</si>
  <si>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</si>
  <si>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</si>
  <si>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</si>
  <si>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</si>
  <si>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</si>
  <si>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</si>
  <si>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</si>
  <si>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</si>
  <si>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</si>
  <si>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</si>
  <si>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</si>
  <si>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</si>
  <si>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</si>
  <si>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</si>
  <si>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</si>
  <si>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</si>
  <si>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</si>
  <si>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</si>
  <si>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</si>
  <si>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</si>
  <si>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</si>
  <si>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</si>
  <si>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</si>
  <si>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</si>
  <si>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</si>
  <si>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Iekārtas uzturēšanas izmaksas</t>
  </si>
  <si>
    <t>Papildu remonta/investīciju izmaksas</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</si>
  <si>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</si>
  <si>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</si>
  <si>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</si>
  <si>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</si>
  <si>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</si>
  <si>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</si>
  <si>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</si>
  <si>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</si>
  <si>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</si>
  <si>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</si>
  <si>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</si>
  <si>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</si>
  <si>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</si>
  <si>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</si>
  <si>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</si>
  <si>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</si>
  <si>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</si>
  <si>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</si>
  <si>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</si>
  <si>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</si>
  <si>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</si>
  <si>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</si>
  <si>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</si>
  <si>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</si>
  <si>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</si>
  <si>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</si>
  <si>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</si>
  <si>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</si>
  <si>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</si>
  <si>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</si>
  <si>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</si>
  <si>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</si>
  <si>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</si>
  <si>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</si>
  <si>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</si>
  <si>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</si>
  <si>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</si>
  <si>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</si>
  <si>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</si>
  <si>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</si>
  <si>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</si>
  <si>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</si>
  <si>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</si>
  <si>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</si>
  <si>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</si>
  <si>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</si>
  <si>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</si>
  <si>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</si>
  <si>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</si>
  <si>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</si>
  <si>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</si>
  <si>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</si>
  <si>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</si>
  <si>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</si>
  <si>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</si>
  <si>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</si>
  <si>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</si>
  <si>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</si>
  <si>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</si>
  <si>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</si>
  <si>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</si>
  <si>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</si>
  <si>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</si>
  <si>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</si>
  <si>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</si>
  <si>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</si>
  <si>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</si>
  <si>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</si>
  <si>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</si>
  <si>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</si>
  <si>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</si>
  <si>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</si>
  <si>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</si>
  <si>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</si>
  <si>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</si>
  <si>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</si>
  <si>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</si>
  <si>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</si>
  <si>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</si>
  <si>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</si>
  <si>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</si>
  <si>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</si>
  <si>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</si>
  <si>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</si>
  <si>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</si>
  <si>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</si>
  <si>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</si>
  <si>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</si>
  <si>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</si>
  <si>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</si>
  <si>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</si>
  <si>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</si>
  <si>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</si>
  <si>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</si>
  <si>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</si>
  <si>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</si>
  <si>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</si>
  <si>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</si>
  <si>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</si>
  <si>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</si>
  <si>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</si>
  <si>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</si>
  <si>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</si>
  <si>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</si>
  <si>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</si>
  <si>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</si>
  <si>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</si>
  <si>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</si>
  <si>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</si>
  <si>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</si>
  <si>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</si>
  <si>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</si>
  <si>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</si>
  <si>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</si>
  <si>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</si>
  <si>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</si>
  <si>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</si>
  <si>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</si>
  <si>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</si>
  <si>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</si>
  <si>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</si>
  <si>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</si>
  <si>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</si>
  <si>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</si>
  <si>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</si>
  <si>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</si>
  <si>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</si>
  <si>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</si>
  <si>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</si>
  <si>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</si>
  <si>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</si>
  <si>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</si>
  <si>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</si>
  <si>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</si>
  <si>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</si>
  <si>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</si>
  <si>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</si>
  <si>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</si>
  <si>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</si>
  <si>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</si>
  <si>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Infrastruktūras izmantošanas proporcija, %:</t>
  </si>
  <si>
    <t>Norāda, ja projektā izmanto infrastruktūras izmantošanas proporciju atbilstoši MK noteikumu 39.punktam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</si>
  <si>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</si>
  <si>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</si>
  <si>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</si>
  <si>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</si>
  <si>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</si>
  <si>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</si>
  <si>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</si>
  <si>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</si>
  <si>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</si>
  <si>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</si>
  <si>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</si>
  <si>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</si>
  <si>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</si>
  <si>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</si>
  <si>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</si>
  <si>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</si>
  <si>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</si>
  <si>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</si>
  <si>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</si>
  <si>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</si>
  <si>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</si>
  <si>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</si>
  <si>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</si>
  <si>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</si>
  <si>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</si>
  <si>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</si>
  <si>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</si>
  <si>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</si>
  <si>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</si>
  <si>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</si>
  <si>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</si>
  <si>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</si>
  <si>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</si>
  <si>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</si>
  <si>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</si>
  <si>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</si>
  <si>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</si>
  <si>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</si>
  <si>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</si>
  <si>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</si>
  <si>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</si>
  <si>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</si>
  <si>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</si>
  <si>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</si>
  <si>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</si>
  <si>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</si>
  <si>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</si>
  <si>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</si>
  <si>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</si>
  <si>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</si>
  <si>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</si>
  <si>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</si>
  <si>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</si>
  <si>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</si>
  <si>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</si>
  <si>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</si>
  <si>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</si>
  <si>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</si>
  <si>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</si>
  <si>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</si>
  <si>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</si>
  <si>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</si>
  <si>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</si>
  <si>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</si>
  <si>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</si>
  <si>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</si>
  <si>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</si>
  <si>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</si>
  <si>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</si>
  <si>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</si>
  <si>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</si>
  <si>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</si>
  <si>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</si>
  <si>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</si>
  <si>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</si>
  <si>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</si>
  <si>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</si>
  <si>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</si>
  <si>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</si>
  <si>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</si>
  <si>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</si>
  <si>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</si>
  <si>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</si>
  <si>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</si>
  <si>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</si>
  <si>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</si>
  <si>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</si>
  <si>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</si>
  <si>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</si>
  <si>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</si>
  <si>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</si>
  <si>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</si>
  <si>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</si>
  <si>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</si>
  <si>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</si>
  <si>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</si>
  <si>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</si>
  <si>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</si>
  <si>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</si>
  <si>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</si>
  <si>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</si>
  <si>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</si>
  <si>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</si>
  <si>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</si>
  <si>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</si>
  <si>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</si>
  <si>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</si>
  <si>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</si>
  <si>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</si>
  <si>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</si>
  <si>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</si>
  <si>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</si>
  <si>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</si>
  <si>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</si>
  <si>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</si>
  <si>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</si>
  <si>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</si>
  <si>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</si>
  <si>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</si>
  <si>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</si>
  <si>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</si>
  <si>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</si>
  <si>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</si>
  <si>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</si>
  <si>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</si>
  <si>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</si>
  <si>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</si>
  <si>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</si>
  <si>
    <t>Pacientu skaits</t>
  </si>
  <si>
    <t>skaits</t>
  </si>
  <si>
    <t>Unikālo izmeklējumu skaita pieaugums dēļ jaunās iekārtas palielinātās veiktspējas</t>
  </si>
  <si>
    <t>koeficients</t>
  </si>
  <si>
    <t>Vidējais pacientu dzīves ilguma pagarinājums</t>
  </si>
  <si>
    <t>IKP uz vienu iedzīvotāju (ieskaitot IKP pieauguma tempu)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</si>
</sst>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 numFmtId="178" formatCode="_(* #,##0.000_);_(* \(#,##0.000\);_(* &quot;-&quot;??_);_(@_)"/>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16"/>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0" fillId="0" borderId="3" xfId="0" applyBorder="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7" fillId="0" borderId="3" xfId="0" applyFont="1" applyBorder="1" applyAlignment="1">
      <alignment horizontal="center" vertical="center"/>
    </xf>
    <xf numFmtId="0" fontId="0" fillId="0" borderId="3" xfId="0" applyBorder="1" applyAlignment="1">
      <alignment vertical="center"/>
    </xf>
    <xf numFmtId="177" fontId="0" fillId="0" borderId="3" xfId="4" applyNumberFormat="1" applyFont="1" applyBorder="1" applyAlignment="1">
      <alignment vertical="center"/>
    </xf>
    <xf numFmtId="164" fontId="0" fillId="0" borderId="3" xfId="4" applyFont="1" applyBorder="1" applyAlignment="1">
      <alignment vertical="center"/>
    </xf>
    <xf numFmtId="178" fontId="0" fillId="0" borderId="3" xfId="4" applyNumberFormat="1" applyFont="1" applyBorder="1" applyAlignment="1">
      <alignment vertical="center"/>
    </xf>
    <xf numFmtId="0" fontId="57" fillId="0" borderId="3" xfId="0" applyFont="1" applyBorder="1" applyAlignment="1">
      <alignment vertical="center"/>
    </xf>
    <xf numFmtId="0" fontId="57" fillId="0" borderId="0" xfId="0" applyFont="1" applyAlignment="1">
      <alignment vertical="center"/>
    </xf>
    <xf numFmtId="4" fontId="30" fillId="23" borderId="3" xfId="0" applyNumberFormat="1" applyFont="1" applyFill="1" applyBorder="1" applyAlignment="1">
      <alignment horizontal="center" vertical="center" wrapText="1"/>
    </xf>
    <xf numFmtId="2" fontId="30" fillId="23" borderId="3" xfId="0" applyNumberFormat="1" applyFont="1" applyFill="1" applyBorder="1" applyAlignment="1">
      <alignment horizontal="center" vertical="center" wrapText="1"/>
    </xf>
    <xf numFmtId="9" fontId="42" fillId="3" borderId="48" xfId="2" applyFont="1" applyFill="1" applyBorder="1" applyAlignment="1" applyProtection="1">
      <alignment wrapText="1"/>
      <protection locked="0"/>
    </xf>
    <xf numFmtId="0" fontId="14" fillId="2" borderId="3" xfId="0" applyFont="1" applyFill="1" applyBorder="1" applyAlignment="1">
      <alignment wrapText="1"/>
    </xf>
    <xf numFmtId="0" fontId="10" fillId="2" borderId="3" xfId="0" applyFont="1" applyFill="1" applyBorder="1" applyAlignment="1">
      <alignment wrapText="1"/>
    </xf>
    <xf numFmtId="0" fontId="57" fillId="22" borderId="3" xfId="0" applyFont="1" applyFill="1" applyBorder="1" applyAlignment="1">
      <alignment horizontal="center" vertical="center"/>
    </xf>
    <xf numFmtId="1" fontId="57" fillId="22" borderId="3" xfId="0" applyNumberFormat="1" applyFont="1" applyFill="1" applyBorder="1" applyAlignment="1">
      <alignment horizontal="center" vertical="center"/>
    </xf>
    <xf numFmtId="0" fontId="0" fillId="22" borderId="3" xfId="0" applyFill="1" applyBorder="1" applyAlignment="1">
      <alignment vertical="center"/>
    </xf>
    <xf numFmtId="0" fontId="0" fillId="22" borderId="3" xfId="0" applyFill="1" applyBorder="1"/>
    <xf numFmtId="177" fontId="57" fillId="22" borderId="3" xfId="4" applyNumberFormat="1" applyFont="1" applyFill="1" applyBorder="1" applyAlignment="1">
      <alignment horizontal="right" vertical="center"/>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xf>
    <xf numFmtId="0" fontId="0" fillId="13" borderId="0" xfId="0" applyFill="1" applyAlignment="1">
      <alignment horizontal="left" wrapText="1"/>
    </xf>
    <xf numFmtId="0" fontId="57" fillId="0" borderId="3" xfId="0" applyFont="1" applyBorder="1" applyAlignment="1">
      <alignment horizontal="left" vertical="center" wrapText="1"/>
    </xf>
    <xf numFmtId="0" fontId="0" fillId="22" borderId="3" xfId="0" applyFill="1" applyBorder="1" applyAlignment="1">
      <alignment horizontal="center" vertical="center"/>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flagovlv.sharepoint.com/sites/VAN/Shared%20Documents/VAN/IIA/21-27%20SAM%20IIA/IIA_aktuala_forma/IIA_apr.mod.CFLA_forma_25012024.xlsx" TargetMode="External"/><Relationship Id="rId1" Type="http://schemas.openxmlformats.org/officeDocument/2006/relationships/externalLinkPath" Target="/sites/VAN/Shared%20Documents/VAN/IIA/21-27%20SAM%20IIA/IIA_aktuala_forma/IIA_apr.mod.CFLA_forma_25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i"/>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3.1. Partneris-kom.-1"/>
      <sheetName val="1.3.2. Partneris-kom.-2"/>
      <sheetName val="2. DL invest.n.pl.BEZ pr."/>
      <sheetName val="3. DL invest.n.pl.AR pr."/>
      <sheetName val="4.DL Finansiālā ilgtspēja"/>
      <sheetName val="5.DL soc.econom. analīze"/>
      <sheetName val="6. DL finanšu_analīze"/>
      <sheetName val="7. DL jut. analīze-Soc."/>
      <sheetName val="8. DL jut. analize-Fin."/>
      <sheetName val="PIV 2.piel.-1"/>
      <sheetName val="9. DL PI Fin.plans"/>
      <sheetName val="10. DL PI Budz.kops."/>
      <sheetName val="11. DL 4.pielikums"/>
      <sheetName val="12. Kontroles lapa"/>
      <sheetName val="Pieņēmumi"/>
    </sheetNames>
    <sheetDataSet>
      <sheetData sheetId="0"/>
      <sheetData sheetId="1"/>
      <sheetData sheetId="2"/>
      <sheetData sheetId="3"/>
      <sheetData sheetId="4">
        <row r="22">
          <cell r="C22">
            <v>0.85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F46" sqref="F46"/>
    </sheetView>
  </sheetViews>
  <sheetFormatPr defaultColWidth="9.140625" defaultRowHeight="15"/>
  <cols>
    <col min="1" max="1" width="33.85546875" style="139" bestFit="1" customWidth="1"/>
    <col min="2" max="3" width="9.140625" style="139"/>
    <col min="4" max="4" width="14.28515625" style="139" customWidth="1"/>
    <col min="5" max="6" width="9.140625" style="139"/>
    <col min="7" max="7" width="27.7109375" style="139" customWidth="1"/>
    <col min="8" max="8" width="13.5703125" style="139" customWidth="1"/>
    <col min="9" max="9" width="9.140625" style="139"/>
    <col min="10" max="10" width="34.5703125" style="139" customWidth="1"/>
    <col min="11" max="11" width="9.140625" style="139"/>
    <col min="12" max="12" width="30.85546875" style="139" customWidth="1"/>
    <col min="13" max="13" width="9.140625" style="139"/>
    <col min="14" max="14" width="19.5703125" style="139" customWidth="1"/>
    <col min="15" max="17" width="9.140625" style="139"/>
    <col min="18" max="18" width="15.85546875" style="139" customWidth="1"/>
    <col min="19" max="19" width="9.140625" style="139"/>
    <col min="20" max="20" width="15.28515625" style="139" customWidth="1"/>
    <col min="21" max="16384" width="9.140625" style="139"/>
  </cols>
  <sheetData>
    <row r="1" spans="1:20" ht="26.25">
      <c r="A1" s="140" t="s">
        <v>0</v>
      </c>
      <c r="C1" s="140" t="s">
        <v>1</v>
      </c>
      <c r="D1" s="140" t="s">
        <v>2</v>
      </c>
      <c r="E1" s="140" t="s">
        <v>3</v>
      </c>
      <c r="G1" s="140" t="s">
        <v>4</v>
      </c>
      <c r="H1" s="140" t="s">
        <v>5</v>
      </c>
      <c r="J1" s="141" t="s">
        <v>6</v>
      </c>
      <c r="K1" s="540"/>
      <c r="L1" s="141" t="s">
        <v>7</v>
      </c>
      <c r="N1" s="141" t="s">
        <v>8</v>
      </c>
      <c r="P1" s="141" t="s">
        <v>9</v>
      </c>
      <c r="R1" s="141" t="s">
        <v>10</v>
      </c>
      <c r="T1" s="141" t="s">
        <v>11</v>
      </c>
    </row>
    <row r="2" spans="1:20">
      <c r="A2" s="142"/>
      <c r="C2" s="142"/>
      <c r="D2" s="142"/>
      <c r="E2" s="142"/>
      <c r="G2" s="142" t="s">
        <v>12</v>
      </c>
      <c r="H2" s="139">
        <v>30</v>
      </c>
      <c r="P2" s="139" t="s">
        <v>13</v>
      </c>
      <c r="R2" s="142"/>
    </row>
    <row r="3" spans="1:20">
      <c r="A3" s="139" t="s">
        <v>14</v>
      </c>
      <c r="C3" s="139">
        <v>1</v>
      </c>
      <c r="D3" s="142" t="s">
        <v>15</v>
      </c>
      <c r="E3" s="139">
        <v>2019</v>
      </c>
      <c r="G3" s="142" t="s">
        <v>16</v>
      </c>
      <c r="H3" s="139">
        <v>30</v>
      </c>
      <c r="I3" s="139">
        <v>1</v>
      </c>
      <c r="J3" s="143" t="s">
        <v>17</v>
      </c>
      <c r="L3" s="139" t="s">
        <v>18</v>
      </c>
      <c r="N3" s="144">
        <v>1</v>
      </c>
      <c r="R3" s="142" t="s">
        <v>19</v>
      </c>
      <c r="T3" s="144">
        <v>0.1</v>
      </c>
    </row>
    <row r="4" spans="1:20">
      <c r="A4" s="139" t="s">
        <v>20</v>
      </c>
      <c r="C4" s="139">
        <v>2</v>
      </c>
      <c r="D4" s="142" t="s">
        <v>21</v>
      </c>
      <c r="E4" s="139">
        <v>2020</v>
      </c>
      <c r="G4" s="142" t="s">
        <v>22</v>
      </c>
      <c r="H4" s="145" t="s">
        <v>23</v>
      </c>
      <c r="I4" s="139">
        <v>2</v>
      </c>
      <c r="J4" s="143" t="s">
        <v>24</v>
      </c>
      <c r="L4" s="139" t="s">
        <v>25</v>
      </c>
      <c r="N4" s="144">
        <v>0.85</v>
      </c>
      <c r="R4" s="142" t="s">
        <v>26</v>
      </c>
      <c r="T4" s="144">
        <v>0.15</v>
      </c>
    </row>
    <row r="5" spans="1:20">
      <c r="A5" s="139" t="s">
        <v>27</v>
      </c>
      <c r="C5" s="139">
        <v>3</v>
      </c>
      <c r="D5" s="142" t="s">
        <v>28</v>
      </c>
      <c r="E5" s="139">
        <v>2021</v>
      </c>
      <c r="G5" s="142" t="s">
        <v>29</v>
      </c>
      <c r="H5" s="145" t="s">
        <v>23</v>
      </c>
      <c r="I5" s="139">
        <v>3</v>
      </c>
      <c r="J5" s="143" t="s">
        <v>30</v>
      </c>
      <c r="L5" s="139" t="s">
        <v>31</v>
      </c>
      <c r="N5" s="144">
        <v>0.55000000000000004</v>
      </c>
      <c r="T5" s="144">
        <v>0.2</v>
      </c>
    </row>
    <row r="6" spans="1:20" ht="29.25" customHeight="1">
      <c r="A6" s="139" t="s">
        <v>32</v>
      </c>
      <c r="C6" s="139">
        <v>4</v>
      </c>
      <c r="D6" s="142" t="s">
        <v>33</v>
      </c>
      <c r="E6" s="139">
        <v>2022</v>
      </c>
      <c r="G6" s="142" t="s">
        <v>34</v>
      </c>
      <c r="H6" s="139">
        <v>25</v>
      </c>
      <c r="J6" s="143" t="s">
        <v>35</v>
      </c>
      <c r="L6" s="139" t="s">
        <v>36</v>
      </c>
      <c r="N6" s="144">
        <v>0.5</v>
      </c>
      <c r="T6" s="144">
        <v>0.25</v>
      </c>
    </row>
    <row r="7" spans="1:20">
      <c r="A7" s="139" t="s">
        <v>37</v>
      </c>
      <c r="C7" s="139">
        <v>5</v>
      </c>
      <c r="D7" s="142" t="s">
        <v>38</v>
      </c>
      <c r="E7" s="139">
        <v>2023</v>
      </c>
      <c r="G7" s="142" t="s">
        <v>39</v>
      </c>
      <c r="H7" s="145" t="s">
        <v>23</v>
      </c>
      <c r="J7" s="143" t="s">
        <v>40</v>
      </c>
      <c r="L7" s="139" t="s">
        <v>41</v>
      </c>
      <c r="N7" s="144">
        <v>0.45</v>
      </c>
      <c r="T7" s="144">
        <v>0.3</v>
      </c>
    </row>
    <row r="8" spans="1:20">
      <c r="A8" s="139" t="s">
        <v>42</v>
      </c>
      <c r="C8" s="139">
        <v>6</v>
      </c>
      <c r="D8" s="142" t="s">
        <v>43</v>
      </c>
      <c r="E8" s="139">
        <v>2024</v>
      </c>
      <c r="G8" s="142" t="s">
        <v>44</v>
      </c>
      <c r="H8" s="145" t="s">
        <v>45</v>
      </c>
      <c r="J8" s="143" t="s">
        <v>46</v>
      </c>
      <c r="N8" s="144">
        <v>0</v>
      </c>
      <c r="T8" s="144"/>
    </row>
    <row r="9" spans="1:20">
      <c r="A9" s="139" t="s">
        <v>47</v>
      </c>
      <c r="C9" s="139">
        <v>7</v>
      </c>
      <c r="D9" s="142" t="s">
        <v>48</v>
      </c>
      <c r="E9" s="139">
        <v>2025</v>
      </c>
      <c r="G9" s="142" t="s">
        <v>49</v>
      </c>
      <c r="H9" s="145" t="s">
        <v>45</v>
      </c>
    </row>
    <row r="10" spans="1:20">
      <c r="A10" s="139" t="s">
        <v>50</v>
      </c>
      <c r="C10" s="139">
        <v>8</v>
      </c>
      <c r="D10" s="142" t="s">
        <v>51</v>
      </c>
      <c r="E10" s="139">
        <v>2026</v>
      </c>
      <c r="G10" s="142" t="s">
        <v>52</v>
      </c>
      <c r="H10" s="145" t="s">
        <v>53</v>
      </c>
    </row>
    <row r="11" spans="1:20">
      <c r="A11" s="139" t="s">
        <v>54</v>
      </c>
      <c r="C11" s="139">
        <v>9</v>
      </c>
      <c r="D11" s="142" t="s">
        <v>55</v>
      </c>
      <c r="E11" s="139">
        <v>2027</v>
      </c>
      <c r="G11" s="142" t="s">
        <v>56</v>
      </c>
      <c r="H11" s="145" t="s">
        <v>45</v>
      </c>
    </row>
    <row r="12" spans="1:20">
      <c r="A12" s="139" t="s">
        <v>57</v>
      </c>
      <c r="C12" s="139">
        <v>10</v>
      </c>
      <c r="D12" s="142" t="s">
        <v>58</v>
      </c>
      <c r="E12" s="139">
        <v>2028</v>
      </c>
      <c r="G12" s="142" t="s">
        <v>59</v>
      </c>
      <c r="H12" s="146" t="s">
        <v>60</v>
      </c>
    </row>
    <row r="13" spans="1:20">
      <c r="A13" s="139" t="s">
        <v>61</v>
      </c>
      <c r="C13" s="139">
        <v>11</v>
      </c>
      <c r="D13" s="142" t="s">
        <v>62</v>
      </c>
      <c r="E13" s="139">
        <v>2029</v>
      </c>
    </row>
    <row r="14" spans="1:20">
      <c r="A14" s="139" t="s">
        <v>63</v>
      </c>
      <c r="C14" s="139">
        <v>12</v>
      </c>
      <c r="D14" s="142" t="s">
        <v>64</v>
      </c>
      <c r="E14" s="139">
        <v>2030</v>
      </c>
    </row>
    <row r="15" spans="1:20">
      <c r="A15" s="139" t="s">
        <v>65</v>
      </c>
      <c r="C15" s="139">
        <v>13</v>
      </c>
    </row>
    <row r="16" spans="1:20">
      <c r="A16" s="139" t="s">
        <v>66</v>
      </c>
      <c r="C16" s="139">
        <v>14</v>
      </c>
    </row>
    <row r="17" spans="1:3">
      <c r="A17" s="139" t="s">
        <v>67</v>
      </c>
      <c r="C17" s="139">
        <v>15</v>
      </c>
    </row>
    <row r="18" spans="1:3">
      <c r="A18" s="139" t="s">
        <v>68</v>
      </c>
      <c r="C18" s="139">
        <v>16</v>
      </c>
    </row>
    <row r="19" spans="1:3">
      <c r="A19" s="139" t="s">
        <v>69</v>
      </c>
      <c r="C19" s="139">
        <v>17</v>
      </c>
    </row>
    <row r="20" spans="1:3">
      <c r="A20" s="139" t="s">
        <v>70</v>
      </c>
      <c r="C20" s="139">
        <v>18</v>
      </c>
    </row>
    <row r="21" spans="1:3">
      <c r="A21" s="139" t="s">
        <v>71</v>
      </c>
      <c r="C21" s="139">
        <v>19</v>
      </c>
    </row>
    <row r="22" spans="1:3">
      <c r="A22" s="139" t="s">
        <v>72</v>
      </c>
      <c r="C22" s="139">
        <v>20</v>
      </c>
    </row>
    <row r="23" spans="1:3">
      <c r="A23" s="139" t="s">
        <v>73</v>
      </c>
      <c r="C23" s="139">
        <v>21</v>
      </c>
    </row>
    <row r="24" spans="1:3">
      <c r="A24" s="139" t="s">
        <v>74</v>
      </c>
      <c r="C24" s="139">
        <v>22</v>
      </c>
    </row>
    <row r="25" spans="1:3">
      <c r="A25" s="139" t="s">
        <v>75</v>
      </c>
      <c r="C25" s="139">
        <v>23</v>
      </c>
    </row>
    <row r="26" spans="1:3">
      <c r="A26" s="139" t="s">
        <v>76</v>
      </c>
      <c r="C26" s="139">
        <v>24</v>
      </c>
    </row>
    <row r="27" spans="1:3">
      <c r="A27" s="139" t="s">
        <v>77</v>
      </c>
      <c r="C27" s="139">
        <v>25</v>
      </c>
    </row>
    <row r="28" spans="1:3">
      <c r="A28" s="139" t="s">
        <v>78</v>
      </c>
      <c r="C28" s="139">
        <v>26</v>
      </c>
    </row>
    <row r="29" spans="1:3">
      <c r="A29" s="139" t="s">
        <v>79</v>
      </c>
      <c r="C29" s="139">
        <v>27</v>
      </c>
    </row>
    <row r="30" spans="1:3">
      <c r="A30" s="139" t="s">
        <v>80</v>
      </c>
      <c r="C30" s="139">
        <v>28</v>
      </c>
    </row>
    <row r="31" spans="1:3">
      <c r="A31" s="139" t="s">
        <v>81</v>
      </c>
      <c r="C31" s="139">
        <v>29</v>
      </c>
    </row>
    <row r="32" spans="1:3">
      <c r="A32" s="139" t="s">
        <v>82</v>
      </c>
      <c r="C32" s="139">
        <v>30</v>
      </c>
    </row>
    <row r="33" spans="1:3">
      <c r="A33" s="139" t="s">
        <v>83</v>
      </c>
      <c r="C33" s="139">
        <v>31</v>
      </c>
    </row>
    <row r="34" spans="1:3">
      <c r="A34" s="139" t="s">
        <v>84</v>
      </c>
    </row>
    <row r="35" spans="1:3">
      <c r="A35" s="139" t="s">
        <v>85</v>
      </c>
    </row>
    <row r="36" spans="1:3">
      <c r="A36" s="139" t="s">
        <v>86</v>
      </c>
    </row>
    <row r="37" spans="1:3">
      <c r="A37" s="139" t="s">
        <v>87</v>
      </c>
    </row>
    <row r="38" spans="1:3">
      <c r="A38" s="139" t="s">
        <v>88</v>
      </c>
    </row>
    <row r="39" spans="1:3">
      <c r="A39" s="139" t="s">
        <v>89</v>
      </c>
    </row>
    <row r="40" spans="1:3">
      <c r="A40" s="139" t="s">
        <v>90</v>
      </c>
    </row>
    <row r="41" spans="1:3">
      <c r="A41" s="139" t="s">
        <v>91</v>
      </c>
    </row>
    <row r="42" spans="1:3">
      <c r="A42" s="139" t="s">
        <v>92</v>
      </c>
    </row>
    <row r="43" spans="1:3">
      <c r="A43" s="139" t="s">
        <v>93</v>
      </c>
    </row>
    <row r="44" spans="1:3">
      <c r="A44" s="139" t="s">
        <v>94</v>
      </c>
    </row>
    <row r="45" spans="1:3">
      <c r="A45" s="139"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45" sqref="B45"/>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179</v>
      </c>
      <c r="B1" s="548"/>
      <c r="C1" s="492"/>
      <c r="D1" s="555" t="s">
        <v>180</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7"/>
      <c r="K3" s="557" t="s">
        <v>171</v>
      </c>
      <c r="L3" s="558"/>
      <c r="M3" s="558"/>
      <c r="N3" s="559"/>
      <c r="O3" s="502"/>
      <c r="P3" s="493" t="s">
        <v>108</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7"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3"/>
    </row>
    <row r="31" spans="1:69" s="3" customFormat="1">
      <c r="A31" s="483"/>
    </row>
    <row r="32" spans="1:69" s="3" customFormat="1">
      <c r="A32" s="483"/>
    </row>
    <row r="33" spans="1:2" s="3" customFormat="1">
      <c r="A33" s="483"/>
    </row>
    <row r="34" spans="1:2" s="3" customFormat="1">
      <c r="A34" s="483"/>
      <c r="B34" s="3" t="s">
        <v>181</v>
      </c>
    </row>
    <row r="35" spans="1:2" s="3" customFormat="1">
      <c r="A35" s="483"/>
    </row>
    <row r="36" spans="1:2" s="3" customFormat="1">
      <c r="A36" s="483"/>
    </row>
    <row r="37" spans="1:2" s="3" customFormat="1">
      <c r="A37" s="483"/>
    </row>
    <row r="38" spans="1:2" s="3" customFormat="1">
      <c r="A38" s="483"/>
    </row>
    <row r="39" spans="1:2" s="3" customFormat="1">
      <c r="A39" s="483"/>
    </row>
    <row r="40" spans="1:2" s="3" customFormat="1">
      <c r="A40" s="483"/>
    </row>
    <row r="41" spans="1:2" s="3" customFormat="1">
      <c r="A41" s="483"/>
    </row>
    <row r="42" spans="1:2" s="3" customFormat="1">
      <c r="A42" s="483"/>
    </row>
    <row r="43" spans="1:2" s="3" customFormat="1">
      <c r="A43" s="483"/>
    </row>
    <row r="44" spans="1:2" s="3" customFormat="1">
      <c r="A44" s="483"/>
    </row>
    <row r="45" spans="1:2" s="3" customFormat="1">
      <c r="A45" s="483"/>
    </row>
    <row r="46" spans="1:2" s="3" customFormat="1">
      <c r="A46" s="483"/>
    </row>
    <row r="47" spans="1:2" s="3" customFormat="1">
      <c r="A47" s="483"/>
    </row>
    <row r="48" spans="1:2"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I13" sqref="I1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182</v>
      </c>
      <c r="B1" s="548"/>
      <c r="C1" s="492"/>
      <c r="D1" s="555" t="s">
        <v>175</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26.25" customHeight="1">
      <c r="A3" s="483"/>
      <c r="B3" s="507" t="s">
        <v>169</v>
      </c>
      <c r="C3" s="96"/>
      <c r="D3" s="97"/>
      <c r="E3" s="97"/>
      <c r="F3" s="97"/>
      <c r="G3" s="509" t="s">
        <v>170</v>
      </c>
      <c r="H3" s="187"/>
      <c r="I3" s="97"/>
      <c r="J3" s="97"/>
      <c r="K3" s="557" t="s">
        <v>171</v>
      </c>
      <c r="L3" s="558"/>
      <c r="M3" s="558"/>
      <c r="N3" s="559"/>
      <c r="O3" s="502"/>
      <c r="P3" s="493" t="s">
        <v>108</v>
      </c>
      <c r="T3" s="560" t="s">
        <v>176</v>
      </c>
      <c r="U3" s="560"/>
      <c r="V3" s="560"/>
      <c r="W3" s="560"/>
      <c r="X3" s="188"/>
      <c r="AA3" s="3">
        <f>IF(X3="",0,IF(X3="Jā",2,1))</f>
        <v>0</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J18" sqref="J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183</v>
      </c>
      <c r="B1" s="548"/>
      <c r="C1" s="492"/>
      <c r="D1" s="555" t="s">
        <v>184</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8"/>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147</v>
      </c>
      <c r="C17" s="183">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148</v>
      </c>
      <c r="C18" s="183">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150</v>
      </c>
      <c r="C20" s="183">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151</v>
      </c>
      <c r="C21" s="183">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152</v>
      </c>
      <c r="C22" s="183">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153</v>
      </c>
      <c r="C23" s="183">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6"/>
      <c r="B24" s="9" t="s">
        <v>154</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L21" sqref="L21"/>
      <selection pane="bottomLeft" activeCell="J25" sqref="J25"/>
      <selection pane="topRight" activeCell="J25" sqref="J25"/>
    </sheetView>
  </sheetViews>
  <sheetFormatPr defaultColWidth="9.140625" defaultRowHeight="12.75"/>
  <cols>
    <col min="1" max="1" width="5.42578125" style="163" customWidth="1"/>
    <col min="2" max="2" width="64.140625" style="163" customWidth="1"/>
    <col min="3" max="3" width="14.5703125" style="163" customWidth="1"/>
    <col min="4" max="4" width="14.28515625" style="163" customWidth="1"/>
    <col min="5" max="5" width="9.42578125" style="163" customWidth="1"/>
    <col min="6" max="13" width="13.85546875" style="163" customWidth="1"/>
    <col min="14" max="14" width="11.28515625" style="163" customWidth="1"/>
    <col min="15" max="19" width="14" style="163" customWidth="1"/>
    <col min="20" max="20" width="11.28515625" style="163" customWidth="1"/>
    <col min="21" max="25" width="14" style="163" customWidth="1"/>
    <col min="26" max="26" width="11.28515625" style="163" customWidth="1"/>
    <col min="27" max="69" width="9.140625" style="162"/>
    <col min="70" max="16384" width="9.140625" style="163"/>
  </cols>
  <sheetData>
    <row r="1" spans="1:69" s="160" customFormat="1" ht="27" customHeight="1">
      <c r="A1" s="562" t="s">
        <v>185</v>
      </c>
      <c r="B1" s="562"/>
      <c r="C1" s="185"/>
      <c r="D1" s="555" t="s">
        <v>184</v>
      </c>
      <c r="E1" s="555"/>
      <c r="F1" s="555"/>
      <c r="G1" s="555"/>
      <c r="H1" s="555"/>
      <c r="I1" s="555"/>
      <c r="J1" s="555"/>
      <c r="K1" s="555"/>
      <c r="L1" s="555"/>
      <c r="M1" s="555"/>
      <c r="N1" s="555"/>
      <c r="O1" s="555"/>
      <c r="P1" s="555"/>
      <c r="Q1" s="555"/>
      <c r="R1" s="555"/>
      <c r="S1" s="555"/>
      <c r="T1" s="555"/>
      <c r="U1" s="555"/>
      <c r="V1" s="555"/>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2" spans="1:69" s="162" customFormat="1">
      <c r="A2" s="161"/>
    </row>
    <row r="3" spans="1:69" s="162" customFormat="1" ht="18.75">
      <c r="A3" s="161"/>
      <c r="B3" s="186" t="s">
        <v>186</v>
      </c>
      <c r="C3" s="96"/>
      <c r="D3" s="97"/>
      <c r="E3" s="97"/>
      <c r="F3" s="97"/>
      <c r="G3" s="503"/>
      <c r="H3" s="187"/>
      <c r="I3" s="97"/>
      <c r="J3" s="98"/>
    </row>
    <row r="4" spans="1:69" ht="24.95" customHeight="1">
      <c r="A4" s="563" t="s">
        <v>126</v>
      </c>
      <c r="B4" s="563"/>
      <c r="C4" s="563"/>
      <c r="D4" s="162"/>
      <c r="E4" s="162"/>
      <c r="F4" s="162"/>
      <c r="G4" s="162"/>
      <c r="H4" s="162"/>
      <c r="I4" s="162"/>
      <c r="J4" s="162"/>
      <c r="K4" s="162"/>
      <c r="L4" s="162"/>
      <c r="M4" s="162"/>
      <c r="N4" s="162"/>
      <c r="O4" s="162"/>
      <c r="P4" s="162"/>
      <c r="Q4" s="162"/>
      <c r="R4" s="162"/>
      <c r="S4" s="162"/>
      <c r="T4" s="162"/>
      <c r="U4" s="162"/>
      <c r="V4" s="162"/>
      <c r="W4" s="162"/>
      <c r="X4" s="162"/>
      <c r="Y4" s="162"/>
      <c r="Z4" s="162"/>
      <c r="BQ4" s="163"/>
    </row>
    <row r="5" spans="1:69" ht="32.25" customHeight="1">
      <c r="A5" s="564" t="s">
        <v>127</v>
      </c>
      <c r="B5" s="565" t="s">
        <v>128</v>
      </c>
      <c r="C5" s="566" t="s">
        <v>129</v>
      </c>
      <c r="D5" s="561" t="s">
        <v>130</v>
      </c>
      <c r="E5" s="561"/>
      <c r="F5" s="561" t="s">
        <v>131</v>
      </c>
      <c r="G5" s="561"/>
      <c r="H5" s="561">
        <f>'Dati par projektu'!E13</f>
        <v>2024</v>
      </c>
      <c r="I5" s="561"/>
      <c r="J5" s="561">
        <f>IF(OR(H5&gt;='Dati par projektu'!$C$17,H5="X"),"X",H5+1)</f>
        <v>2025</v>
      </c>
      <c r="K5" s="561"/>
      <c r="L5" s="561">
        <f>IF(OR(J5&gt;='Dati par projektu'!$C$17,J5="X"),"X",J5+1)</f>
        <v>2026</v>
      </c>
      <c r="M5" s="561"/>
      <c r="N5" s="561">
        <f>IF(OR(L5&gt;='Dati par projektu'!$C$17,L5="X"),"X",L5+1)</f>
        <v>2027</v>
      </c>
      <c r="O5" s="561"/>
      <c r="P5" s="561">
        <f>IF(OR(N5&gt;='Dati par projektu'!$C$17,N5="X"),"X",N5+1)</f>
        <v>2028</v>
      </c>
      <c r="Q5" s="561"/>
      <c r="R5" s="561">
        <f>IF(OR(P5&gt;='Dati par projektu'!$C$17,P5="X"),"X",P5+1)</f>
        <v>2029</v>
      </c>
      <c r="S5" s="561"/>
      <c r="T5" s="561" t="str">
        <f>IF(OR(R5&gt;='Dati par projektu'!$C$17,R5="X"),"X",R5+1)</f>
        <v>X</v>
      </c>
      <c r="U5" s="561"/>
      <c r="V5" s="561" t="str">
        <f>IF(OR(T5&gt;='Dati par projektu'!$C$17,T5="X"),"X",T5+1)</f>
        <v>X</v>
      </c>
      <c r="W5" s="561"/>
      <c r="X5" s="561" t="str">
        <f>IF(OR(V5&gt;='Dati par projektu'!$C$17,V5="X"),"X",V5+1)</f>
        <v>X</v>
      </c>
      <c r="Y5" s="561"/>
      <c r="Z5" s="162"/>
      <c r="AE5" s="164"/>
      <c r="AF5" s="164"/>
      <c r="AG5" s="164"/>
      <c r="AH5" s="164"/>
      <c r="AI5" s="164"/>
      <c r="AJ5" s="164"/>
      <c r="AK5" s="164"/>
      <c r="AL5" s="164"/>
      <c r="AM5" s="164"/>
      <c r="AN5" s="164"/>
      <c r="AO5" s="164"/>
      <c r="AP5" s="164"/>
      <c r="AQ5" s="164"/>
      <c r="AR5" s="164"/>
      <c r="AS5" s="164"/>
      <c r="AT5" s="164"/>
      <c r="AV5" s="165">
        <v>0.55000000000000004</v>
      </c>
      <c r="BQ5" s="163"/>
    </row>
    <row r="6" spans="1:69" ht="27" customHeight="1">
      <c r="A6" s="564"/>
      <c r="B6" s="565" t="s">
        <v>132</v>
      </c>
      <c r="C6" s="567"/>
      <c r="D6" s="166" t="s">
        <v>133</v>
      </c>
      <c r="E6" s="16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2"/>
      <c r="AE6" s="164"/>
      <c r="AF6" s="164"/>
      <c r="AG6" s="164"/>
      <c r="AH6" s="164"/>
      <c r="AI6" s="164"/>
      <c r="AJ6" s="164"/>
      <c r="AK6" s="164"/>
      <c r="AL6" s="164"/>
      <c r="AM6" s="164"/>
      <c r="AN6" s="164"/>
      <c r="AO6" s="164"/>
      <c r="AP6" s="164"/>
      <c r="AQ6" s="164"/>
      <c r="AR6" s="164"/>
      <c r="AS6" s="164"/>
      <c r="AT6" s="164"/>
      <c r="AV6" s="165">
        <v>0.45</v>
      </c>
      <c r="BQ6" s="163"/>
    </row>
    <row r="7" spans="1:69">
      <c r="A7" s="167">
        <v>1</v>
      </c>
      <c r="B7" s="168" t="s">
        <v>137</v>
      </c>
      <c r="C7" s="183">
        <v>0.45</v>
      </c>
      <c r="D7" s="169">
        <f>F7+G7</f>
        <v>0</v>
      </c>
      <c r="E7" s="170" t="e">
        <f t="shared" ref="E7:E24" si="0">D7/$D$24</f>
        <v>#DIV/0!</v>
      </c>
      <c r="F7" s="171">
        <f t="shared" ref="F7:G9" si="1">ROUND(H7+J7+L7+N7+P7+R7+T7+V7+X7,2)</f>
        <v>0</v>
      </c>
      <c r="G7" s="171">
        <f t="shared" si="1"/>
        <v>0</v>
      </c>
      <c r="H7" s="18"/>
      <c r="I7" s="19"/>
      <c r="J7" s="18"/>
      <c r="K7" s="19"/>
      <c r="L7" s="18"/>
      <c r="M7" s="19"/>
      <c r="N7" s="18"/>
      <c r="O7" s="19"/>
      <c r="P7" s="18"/>
      <c r="Q7" s="19"/>
      <c r="R7" s="18"/>
      <c r="S7" s="19"/>
      <c r="T7" s="18"/>
      <c r="U7" s="19"/>
      <c r="V7" s="18"/>
      <c r="W7" s="19"/>
      <c r="X7" s="18"/>
      <c r="Y7" s="19"/>
      <c r="Z7" s="162"/>
      <c r="AE7" s="164"/>
      <c r="AF7" s="164"/>
      <c r="AG7" s="164"/>
      <c r="AH7" s="164"/>
      <c r="AI7" s="164"/>
      <c r="AJ7" s="164"/>
      <c r="AK7" s="164"/>
      <c r="AL7" s="164"/>
      <c r="AM7" s="164"/>
      <c r="AN7" s="164"/>
      <c r="AO7" s="164"/>
      <c r="AP7" s="164"/>
      <c r="AQ7" s="164"/>
      <c r="AR7" s="164"/>
      <c r="AS7" s="164"/>
      <c r="AT7" s="164"/>
      <c r="AV7" s="165">
        <v>0.35</v>
      </c>
      <c r="BQ7" s="163"/>
    </row>
    <row r="8" spans="1:69">
      <c r="A8" s="167">
        <v>2</v>
      </c>
      <c r="B8" s="168" t="s">
        <v>138</v>
      </c>
      <c r="C8" s="183">
        <v>0.45</v>
      </c>
      <c r="D8" s="169">
        <f t="shared" ref="D8:D23" si="2">F8+G8</f>
        <v>0</v>
      </c>
      <c r="E8" s="170" t="e">
        <f t="shared" si="0"/>
        <v>#DIV/0!</v>
      </c>
      <c r="F8" s="172">
        <f>ROUND(H8+J8+L8+N8+P8+R8+T8+V8+X8,2)</f>
        <v>0</v>
      </c>
      <c r="G8" s="172">
        <f>ROUND(I8+K8+M8+O8+Q8+S8+U8+W8+Y8,2)</f>
        <v>0</v>
      </c>
      <c r="H8" s="18"/>
      <c r="I8" s="19"/>
      <c r="J8" s="18"/>
      <c r="K8" s="19"/>
      <c r="L8" s="18"/>
      <c r="M8" s="19"/>
      <c r="N8" s="18"/>
      <c r="O8" s="19"/>
      <c r="P8" s="18"/>
      <c r="Q8" s="19"/>
      <c r="R8" s="18"/>
      <c r="S8" s="19"/>
      <c r="T8" s="18"/>
      <c r="U8" s="19"/>
      <c r="V8" s="18"/>
      <c r="W8" s="19"/>
      <c r="X8" s="18"/>
      <c r="Y8" s="19"/>
      <c r="Z8" s="162"/>
      <c r="AE8" s="164"/>
      <c r="AF8" s="164"/>
      <c r="AG8" s="164"/>
      <c r="AH8" s="164"/>
      <c r="AI8" s="164"/>
      <c r="AJ8" s="164"/>
      <c r="AK8" s="164"/>
      <c r="AL8" s="164"/>
      <c r="AM8" s="164"/>
      <c r="AN8" s="164"/>
      <c r="AO8" s="164"/>
      <c r="AP8" s="164"/>
      <c r="AQ8" s="164"/>
      <c r="AR8" s="164"/>
      <c r="AS8" s="164"/>
      <c r="AT8" s="164"/>
      <c r="AV8" s="173"/>
      <c r="BQ8" s="163"/>
    </row>
    <row r="9" spans="1:69">
      <c r="A9" s="167">
        <v>3</v>
      </c>
      <c r="B9" s="168" t="s">
        <v>139</v>
      </c>
      <c r="C9" s="183">
        <v>0.45</v>
      </c>
      <c r="D9" s="169">
        <f t="shared" si="2"/>
        <v>0</v>
      </c>
      <c r="E9" s="170" t="e">
        <f t="shared" si="0"/>
        <v>#DIV/0!</v>
      </c>
      <c r="F9" s="172">
        <f t="shared" si="1"/>
        <v>0</v>
      </c>
      <c r="G9" s="172">
        <f t="shared" si="1"/>
        <v>0</v>
      </c>
      <c r="H9" s="18"/>
      <c r="I9" s="19"/>
      <c r="J9" s="18"/>
      <c r="K9" s="19"/>
      <c r="L9" s="18"/>
      <c r="M9" s="19"/>
      <c r="N9" s="18"/>
      <c r="O9" s="19"/>
      <c r="P9" s="18"/>
      <c r="Q9" s="19"/>
      <c r="R9" s="18"/>
      <c r="S9" s="19"/>
      <c r="T9" s="18"/>
      <c r="U9" s="19"/>
      <c r="V9" s="18"/>
      <c r="W9" s="19"/>
      <c r="X9" s="18"/>
      <c r="Y9" s="19"/>
      <c r="Z9" s="162"/>
      <c r="AE9" s="164"/>
      <c r="AF9" s="164"/>
      <c r="AG9" s="164"/>
      <c r="AH9" s="164"/>
      <c r="AI9" s="164"/>
      <c r="AJ9" s="164"/>
      <c r="AK9" s="164"/>
      <c r="AL9" s="164"/>
      <c r="AM9" s="164"/>
      <c r="AN9" s="164"/>
      <c r="AO9" s="164"/>
      <c r="AP9" s="164"/>
      <c r="AQ9" s="164"/>
      <c r="AR9" s="164"/>
      <c r="AS9" s="164"/>
      <c r="AT9" s="164"/>
      <c r="AV9" s="173"/>
      <c r="BQ9" s="163"/>
    </row>
    <row r="10" spans="1:69">
      <c r="A10" s="167">
        <v>4</v>
      </c>
      <c r="B10" s="168" t="s">
        <v>140</v>
      </c>
      <c r="C10" s="183">
        <v>0.45</v>
      </c>
      <c r="D10" s="169">
        <f t="shared" si="2"/>
        <v>0</v>
      </c>
      <c r="E10" s="170" t="e">
        <f t="shared" si="0"/>
        <v>#DIV/0!</v>
      </c>
      <c r="F10" s="176">
        <f t="shared" ref="F10:G12" si="3">ROUND(H10+J10+L10+N10+P10+R10+T10+V10+X10,2)</f>
        <v>0</v>
      </c>
      <c r="G10" s="176">
        <f t="shared" si="3"/>
        <v>0</v>
      </c>
      <c r="H10" s="18"/>
      <c r="I10" s="19"/>
      <c r="J10" s="18"/>
      <c r="K10" s="19"/>
      <c r="L10" s="18"/>
      <c r="M10" s="19"/>
      <c r="N10" s="18"/>
      <c r="O10" s="19"/>
      <c r="P10" s="18"/>
      <c r="Q10" s="19"/>
      <c r="R10" s="18"/>
      <c r="S10" s="19"/>
      <c r="T10" s="18"/>
      <c r="U10" s="19"/>
      <c r="V10" s="18"/>
      <c r="W10" s="19"/>
      <c r="X10" s="18"/>
      <c r="Y10" s="19"/>
      <c r="Z10" s="162"/>
      <c r="AE10" s="164"/>
      <c r="AF10" s="164"/>
      <c r="AG10" s="164"/>
      <c r="AH10" s="164"/>
      <c r="AI10" s="164"/>
      <c r="AJ10" s="164"/>
      <c r="AK10" s="164"/>
      <c r="AL10" s="164"/>
      <c r="AM10" s="164"/>
      <c r="AN10" s="164"/>
      <c r="AO10" s="164"/>
      <c r="AP10" s="164"/>
      <c r="AQ10" s="164"/>
      <c r="AR10" s="164"/>
      <c r="AS10" s="164"/>
      <c r="AT10" s="164"/>
      <c r="BQ10" s="163"/>
    </row>
    <row r="11" spans="1:69">
      <c r="A11" s="167">
        <v>5</v>
      </c>
      <c r="B11" s="168" t="s">
        <v>141</v>
      </c>
      <c r="C11" s="183">
        <v>0.45</v>
      </c>
      <c r="D11" s="169">
        <f t="shared" si="2"/>
        <v>0</v>
      </c>
      <c r="E11" s="170" t="e">
        <f t="shared" si="0"/>
        <v>#DIV/0!</v>
      </c>
      <c r="F11" s="176">
        <f t="shared" si="3"/>
        <v>0</v>
      </c>
      <c r="G11" s="176">
        <f t="shared" si="3"/>
        <v>0</v>
      </c>
      <c r="H11" s="18"/>
      <c r="I11" s="19"/>
      <c r="J11" s="18"/>
      <c r="K11" s="19"/>
      <c r="L11" s="18"/>
      <c r="M11" s="19"/>
      <c r="N11" s="18"/>
      <c r="O11" s="19"/>
      <c r="P11" s="18"/>
      <c r="Q11" s="19"/>
      <c r="R11" s="18"/>
      <c r="S11" s="19"/>
      <c r="T11" s="18"/>
      <c r="U11" s="19"/>
      <c r="V11" s="18"/>
      <c r="W11" s="19"/>
      <c r="X11" s="18"/>
      <c r="Y11" s="19"/>
      <c r="Z11" s="162"/>
      <c r="AE11" s="164"/>
      <c r="AF11" s="164"/>
      <c r="AG11" s="164"/>
      <c r="AH11" s="164"/>
      <c r="AI11" s="164"/>
      <c r="AJ11" s="164"/>
      <c r="AK11" s="164"/>
      <c r="AL11" s="164"/>
      <c r="AM11" s="164"/>
      <c r="AN11" s="164"/>
      <c r="AO11" s="164"/>
      <c r="AP11" s="164"/>
      <c r="AQ11" s="164"/>
      <c r="AR11" s="164"/>
      <c r="AS11" s="164"/>
      <c r="AT11" s="164"/>
      <c r="BQ11" s="163"/>
    </row>
    <row r="12" spans="1:69">
      <c r="A12" s="167">
        <v>6</v>
      </c>
      <c r="B12" s="168" t="s">
        <v>142</v>
      </c>
      <c r="C12" s="183">
        <v>0.45</v>
      </c>
      <c r="D12" s="169">
        <f t="shared" si="2"/>
        <v>0</v>
      </c>
      <c r="E12" s="170" t="e">
        <f t="shared" si="0"/>
        <v>#DIV/0!</v>
      </c>
      <c r="F12" s="172">
        <f t="shared" si="3"/>
        <v>0</v>
      </c>
      <c r="G12" s="172">
        <f>ROUND(I12+K12+M12+O12+Q12+S12+U12+W12+Y12,2)</f>
        <v>0</v>
      </c>
      <c r="H12" s="18"/>
      <c r="I12" s="19"/>
      <c r="J12" s="18"/>
      <c r="K12" s="19"/>
      <c r="L12" s="18"/>
      <c r="M12" s="19"/>
      <c r="N12" s="18"/>
      <c r="O12" s="19"/>
      <c r="P12" s="18"/>
      <c r="Q12" s="19"/>
      <c r="R12" s="18"/>
      <c r="S12" s="19"/>
      <c r="T12" s="18"/>
      <c r="U12" s="19"/>
      <c r="V12" s="18"/>
      <c r="W12" s="19"/>
      <c r="X12" s="18"/>
      <c r="Y12" s="19"/>
      <c r="Z12" s="162"/>
      <c r="AE12" s="164"/>
      <c r="AF12" s="164"/>
      <c r="AG12" s="164"/>
      <c r="AH12" s="164"/>
      <c r="AI12" s="164"/>
      <c r="AJ12" s="164"/>
      <c r="AK12" s="164"/>
      <c r="AL12" s="164"/>
      <c r="AM12" s="164"/>
      <c r="AN12" s="164"/>
      <c r="AO12" s="164"/>
      <c r="AP12" s="164"/>
      <c r="AQ12" s="164"/>
      <c r="AR12" s="164"/>
      <c r="AS12" s="164"/>
      <c r="AT12" s="164"/>
      <c r="AV12" s="173"/>
      <c r="BQ12" s="163"/>
    </row>
    <row r="13" spans="1:69" s="162" customFormat="1">
      <c r="A13" s="167">
        <v>7</v>
      </c>
      <c r="B13" s="168" t="s">
        <v>143</v>
      </c>
      <c r="D13" s="169">
        <f t="shared" si="2"/>
        <v>0</v>
      </c>
      <c r="E13" s="170" t="e">
        <f t="shared" si="0"/>
        <v>#DIV/0!</v>
      </c>
      <c r="F13" s="171">
        <f>ROUND(H13+J13+L13+N13+P13+R13+T13+V13+X13,2)</f>
        <v>0</v>
      </c>
      <c r="G13" s="171">
        <f>ROUND(I13+K13+M13+O13+Q13+S13+U13+W13+Y13,2)</f>
        <v>0</v>
      </c>
      <c r="H13" s="177">
        <f t="shared" ref="H13:Y13" si="4">SUM(H14:H15)</f>
        <v>0</v>
      </c>
      <c r="I13" s="177">
        <f t="shared" si="4"/>
        <v>0</v>
      </c>
      <c r="J13" s="177">
        <f t="shared" si="4"/>
        <v>0</v>
      </c>
      <c r="K13" s="177">
        <f t="shared" si="4"/>
        <v>0</v>
      </c>
      <c r="L13" s="177">
        <f t="shared" si="4"/>
        <v>0</v>
      </c>
      <c r="M13" s="177">
        <f t="shared" si="4"/>
        <v>0</v>
      </c>
      <c r="N13" s="177">
        <f t="shared" si="4"/>
        <v>0</v>
      </c>
      <c r="O13" s="177">
        <f t="shared" si="4"/>
        <v>0</v>
      </c>
      <c r="P13" s="177">
        <f t="shared" si="4"/>
        <v>0</v>
      </c>
      <c r="Q13" s="177">
        <f t="shared" si="4"/>
        <v>0</v>
      </c>
      <c r="R13" s="177">
        <f t="shared" si="4"/>
        <v>0</v>
      </c>
      <c r="S13" s="177">
        <f t="shared" si="4"/>
        <v>0</v>
      </c>
      <c r="T13" s="177">
        <f t="shared" si="4"/>
        <v>0</v>
      </c>
      <c r="U13" s="177">
        <f t="shared" si="4"/>
        <v>0</v>
      </c>
      <c r="V13" s="177">
        <f t="shared" si="4"/>
        <v>0</v>
      </c>
      <c r="W13" s="177">
        <f t="shared" si="4"/>
        <v>0</v>
      </c>
      <c r="X13" s="177">
        <f t="shared" si="4"/>
        <v>0</v>
      </c>
      <c r="Y13" s="177">
        <f t="shared" si="4"/>
        <v>0</v>
      </c>
      <c r="AE13" s="164"/>
      <c r="AF13" s="164"/>
      <c r="AG13" s="164"/>
      <c r="AH13" s="164"/>
      <c r="AI13" s="164"/>
      <c r="AJ13" s="164"/>
      <c r="AK13" s="164"/>
      <c r="AL13" s="164"/>
      <c r="AM13" s="164"/>
      <c r="AN13" s="164"/>
      <c r="AO13" s="164"/>
      <c r="AP13" s="164"/>
      <c r="AQ13" s="164"/>
      <c r="AR13" s="164"/>
      <c r="AS13" s="164"/>
      <c r="AT13" s="164"/>
    </row>
    <row r="14" spans="1:69" s="162" customFormat="1">
      <c r="A14" s="174" t="s">
        <v>144</v>
      </c>
      <c r="B14" s="175" t="s">
        <v>159</v>
      </c>
      <c r="C14" s="183">
        <v>1</v>
      </c>
      <c r="D14" s="169">
        <f t="shared" si="2"/>
        <v>0</v>
      </c>
      <c r="E14" s="170" t="e">
        <f t="shared" si="0"/>
        <v>#DIV/0!</v>
      </c>
      <c r="F14" s="176">
        <f>ROUND(H14+J14+L14+N14+P14+R14+T14+V14+X14,2)</f>
        <v>0</v>
      </c>
      <c r="G14" s="176">
        <f>ROUND(I14+K14+M14+O14+Q14+S14+U14+W14+Y14,2)</f>
        <v>0</v>
      </c>
      <c r="H14" s="18"/>
      <c r="I14" s="19"/>
      <c r="J14" s="18"/>
      <c r="K14" s="19"/>
      <c r="L14" s="18"/>
      <c r="M14" s="19"/>
      <c r="N14" s="18"/>
      <c r="O14" s="19"/>
      <c r="P14" s="18"/>
      <c r="Q14" s="19"/>
      <c r="R14" s="18"/>
      <c r="S14" s="19"/>
      <c r="T14" s="18"/>
      <c r="U14" s="19"/>
      <c r="V14" s="18"/>
      <c r="W14" s="19"/>
      <c r="X14" s="18"/>
      <c r="Y14" s="19"/>
      <c r="AE14" s="164"/>
      <c r="AF14" s="164"/>
      <c r="AG14" s="164"/>
      <c r="AH14" s="164"/>
      <c r="AI14" s="164"/>
      <c r="AJ14" s="164"/>
      <c r="AK14" s="164"/>
      <c r="AL14" s="164"/>
      <c r="AM14" s="164"/>
      <c r="AN14" s="164"/>
      <c r="AO14" s="164"/>
      <c r="AP14" s="164"/>
      <c r="AQ14" s="164"/>
      <c r="AR14" s="164"/>
      <c r="AS14" s="164"/>
      <c r="AT14" s="164"/>
    </row>
    <row r="15" spans="1:69" s="162" customFormat="1">
      <c r="A15" s="174" t="s">
        <v>145</v>
      </c>
      <c r="B15" s="12" t="s">
        <v>160</v>
      </c>
      <c r="C15" s="183">
        <v>0.45</v>
      </c>
      <c r="D15" s="169">
        <f t="shared" si="2"/>
        <v>0</v>
      </c>
      <c r="E15" s="170" t="e">
        <f t="shared" si="0"/>
        <v>#DIV/0!</v>
      </c>
      <c r="F15" s="176">
        <f t="shared" ref="F15:G23" si="5">ROUND(H15+J15+L15+N15+P15+R15+T15+V15+X15,2)</f>
        <v>0</v>
      </c>
      <c r="G15" s="176">
        <f t="shared" si="5"/>
        <v>0</v>
      </c>
      <c r="H15" s="18"/>
      <c r="I15" s="19"/>
      <c r="J15" s="18"/>
      <c r="K15" s="19"/>
      <c r="L15" s="18"/>
      <c r="M15" s="19"/>
      <c r="N15" s="18"/>
      <c r="O15" s="19"/>
      <c r="P15" s="18"/>
      <c r="Q15" s="19"/>
      <c r="R15" s="18"/>
      <c r="S15" s="19"/>
      <c r="T15" s="18"/>
      <c r="U15" s="19"/>
      <c r="V15" s="18"/>
      <c r="W15" s="19"/>
      <c r="X15" s="18"/>
      <c r="Y15" s="19"/>
      <c r="AE15" s="164"/>
      <c r="AF15" s="164"/>
      <c r="AG15" s="164"/>
      <c r="AH15" s="164"/>
      <c r="AI15" s="164"/>
      <c r="AJ15" s="164"/>
      <c r="AK15" s="164"/>
      <c r="AL15" s="164"/>
      <c r="AM15" s="164"/>
      <c r="AN15" s="164"/>
      <c r="AO15" s="164"/>
      <c r="AP15" s="164"/>
      <c r="AQ15" s="164"/>
      <c r="AR15" s="164"/>
      <c r="AS15" s="164"/>
      <c r="AT15" s="164"/>
    </row>
    <row r="16" spans="1:69" s="162" customFormat="1">
      <c r="A16" s="167">
        <v>8</v>
      </c>
      <c r="B16" s="168" t="s">
        <v>146</v>
      </c>
      <c r="C16" s="183">
        <v>0.45</v>
      </c>
      <c r="D16" s="169">
        <f t="shared" si="2"/>
        <v>0</v>
      </c>
      <c r="E16" s="170" t="e">
        <f t="shared" si="0"/>
        <v>#DIV/0!</v>
      </c>
      <c r="F16" s="176">
        <f t="shared" si="5"/>
        <v>0</v>
      </c>
      <c r="G16" s="176">
        <f t="shared" si="5"/>
        <v>0</v>
      </c>
      <c r="H16" s="18"/>
      <c r="I16" s="19"/>
      <c r="J16" s="18"/>
      <c r="K16" s="19"/>
      <c r="L16" s="18"/>
      <c r="M16" s="19"/>
      <c r="N16" s="18"/>
      <c r="O16" s="19"/>
      <c r="P16" s="18"/>
      <c r="Q16" s="19"/>
      <c r="R16" s="18"/>
      <c r="S16" s="19"/>
      <c r="T16" s="18"/>
      <c r="U16" s="19"/>
      <c r="V16" s="18"/>
      <c r="W16" s="19"/>
      <c r="X16" s="18"/>
      <c r="Y16" s="19"/>
      <c r="AE16" s="164"/>
      <c r="AF16" s="164"/>
      <c r="AG16" s="164"/>
      <c r="AH16" s="164"/>
      <c r="AI16" s="164"/>
      <c r="AJ16" s="164"/>
      <c r="AK16" s="164"/>
      <c r="AL16" s="164"/>
      <c r="AM16" s="164"/>
      <c r="AN16" s="164"/>
      <c r="AO16" s="164"/>
      <c r="AP16" s="164"/>
      <c r="AQ16" s="164"/>
      <c r="AR16" s="164"/>
      <c r="AS16" s="164"/>
      <c r="AT16" s="164"/>
    </row>
    <row r="17" spans="1:69" s="162" customFormat="1">
      <c r="A17" s="167">
        <v>9</v>
      </c>
      <c r="B17" s="168" t="s">
        <v>147</v>
      </c>
      <c r="C17" s="183">
        <v>0.45</v>
      </c>
      <c r="D17" s="169">
        <f t="shared" si="2"/>
        <v>0</v>
      </c>
      <c r="E17" s="170" t="e">
        <f t="shared" si="0"/>
        <v>#DIV/0!</v>
      </c>
      <c r="F17" s="176">
        <f t="shared" si="5"/>
        <v>0</v>
      </c>
      <c r="G17" s="176">
        <f t="shared" si="5"/>
        <v>0</v>
      </c>
      <c r="H17" s="18"/>
      <c r="I17" s="19"/>
      <c r="J17" s="18"/>
      <c r="K17" s="19"/>
      <c r="L17" s="18"/>
      <c r="M17" s="19"/>
      <c r="N17" s="18"/>
      <c r="O17" s="19"/>
      <c r="P17" s="18"/>
      <c r="Q17" s="19"/>
      <c r="R17" s="18"/>
      <c r="S17" s="19"/>
      <c r="T17" s="18"/>
      <c r="U17" s="19"/>
      <c r="V17" s="18"/>
      <c r="W17" s="19"/>
      <c r="X17" s="18"/>
      <c r="Y17" s="19"/>
      <c r="AE17" s="164"/>
      <c r="AF17" s="164"/>
      <c r="AG17" s="164"/>
      <c r="AH17" s="164"/>
      <c r="AI17" s="164"/>
      <c r="AJ17" s="164"/>
      <c r="AK17" s="164"/>
      <c r="AL17" s="164"/>
      <c r="AM17" s="164"/>
      <c r="AN17" s="164"/>
      <c r="AO17" s="164"/>
      <c r="AP17" s="164"/>
      <c r="AQ17" s="164"/>
      <c r="AR17" s="164"/>
      <c r="AS17" s="164"/>
      <c r="AT17" s="164"/>
    </row>
    <row r="18" spans="1:69" s="162" customFormat="1">
      <c r="A18" s="167">
        <v>10</v>
      </c>
      <c r="B18" s="168" t="s">
        <v>148</v>
      </c>
      <c r="C18" s="183">
        <v>0.45</v>
      </c>
      <c r="D18" s="169">
        <f t="shared" si="2"/>
        <v>0</v>
      </c>
      <c r="E18" s="170" t="e">
        <f t="shared" si="0"/>
        <v>#DIV/0!</v>
      </c>
      <c r="F18" s="176">
        <f t="shared" si="5"/>
        <v>0</v>
      </c>
      <c r="G18" s="176">
        <f t="shared" si="5"/>
        <v>0</v>
      </c>
      <c r="H18" s="18"/>
      <c r="I18" s="19"/>
      <c r="J18" s="18"/>
      <c r="K18" s="19"/>
      <c r="L18" s="18"/>
      <c r="M18" s="19"/>
      <c r="N18" s="18"/>
      <c r="O18" s="19"/>
      <c r="P18" s="18"/>
      <c r="Q18" s="19"/>
      <c r="R18" s="18"/>
      <c r="S18" s="19"/>
      <c r="T18" s="18"/>
      <c r="U18" s="19"/>
      <c r="V18" s="18"/>
      <c r="W18" s="19"/>
      <c r="X18" s="18"/>
      <c r="Y18" s="19"/>
      <c r="AE18" s="164"/>
      <c r="AF18" s="164"/>
      <c r="AG18" s="164"/>
      <c r="AH18" s="164"/>
      <c r="AI18" s="164"/>
      <c r="AJ18" s="164"/>
      <c r="AK18" s="164"/>
      <c r="AL18" s="164"/>
      <c r="AM18" s="164"/>
      <c r="AN18" s="164"/>
      <c r="AO18" s="164"/>
      <c r="AP18" s="164"/>
      <c r="AQ18" s="164"/>
      <c r="AR18" s="164"/>
      <c r="AS18" s="164"/>
      <c r="AT18" s="164"/>
    </row>
    <row r="19" spans="1:69" s="162" customFormat="1" ht="25.5">
      <c r="A19" s="167">
        <v>11</v>
      </c>
      <c r="B19" s="168" t="s">
        <v>161</v>
      </c>
      <c r="C19" s="183">
        <v>1</v>
      </c>
      <c r="D19" s="169">
        <f t="shared" si="2"/>
        <v>0</v>
      </c>
      <c r="E19" s="170" t="e">
        <f t="shared" si="0"/>
        <v>#DIV/0!</v>
      </c>
      <c r="F19" s="176">
        <f t="shared" si="5"/>
        <v>0</v>
      </c>
      <c r="G19" s="176">
        <f t="shared" si="5"/>
        <v>0</v>
      </c>
      <c r="H19" s="18"/>
      <c r="I19" s="19"/>
      <c r="J19" s="18"/>
      <c r="K19" s="19"/>
      <c r="L19" s="18"/>
      <c r="M19" s="19"/>
      <c r="N19" s="18"/>
      <c r="O19" s="19"/>
      <c r="P19" s="18"/>
      <c r="Q19" s="19"/>
      <c r="R19" s="18"/>
      <c r="S19" s="19"/>
      <c r="T19" s="18"/>
      <c r="U19" s="19"/>
      <c r="V19" s="18"/>
      <c r="W19" s="19"/>
      <c r="X19" s="18"/>
      <c r="Y19" s="19"/>
      <c r="AE19" s="164"/>
      <c r="AF19" s="164"/>
      <c r="AG19" s="164"/>
      <c r="AH19" s="164"/>
      <c r="AI19" s="164"/>
      <c r="AJ19" s="164"/>
      <c r="AK19" s="164"/>
      <c r="AL19" s="164"/>
      <c r="AM19" s="164"/>
      <c r="AN19" s="164"/>
      <c r="AO19" s="164"/>
      <c r="AP19" s="164"/>
      <c r="AQ19" s="164"/>
      <c r="AR19" s="164"/>
      <c r="AS19" s="164"/>
      <c r="AT19" s="164"/>
    </row>
    <row r="20" spans="1:69" s="162" customFormat="1">
      <c r="A20" s="167">
        <v>12</v>
      </c>
      <c r="B20" s="168" t="s">
        <v>150</v>
      </c>
      <c r="C20" s="183">
        <v>0.45</v>
      </c>
      <c r="D20" s="169">
        <f t="shared" si="2"/>
        <v>0</v>
      </c>
      <c r="E20" s="170" t="e">
        <f t="shared" si="0"/>
        <v>#DIV/0!</v>
      </c>
      <c r="F20" s="176">
        <f t="shared" si="5"/>
        <v>0</v>
      </c>
      <c r="G20" s="176">
        <f t="shared" si="5"/>
        <v>0</v>
      </c>
      <c r="H20" s="18"/>
      <c r="I20" s="19"/>
      <c r="J20" s="18"/>
      <c r="K20" s="19"/>
      <c r="L20" s="18"/>
      <c r="M20" s="19"/>
      <c r="N20" s="18"/>
      <c r="O20" s="19"/>
      <c r="P20" s="18"/>
      <c r="Q20" s="19"/>
      <c r="R20" s="18"/>
      <c r="S20" s="19"/>
      <c r="T20" s="18"/>
      <c r="U20" s="19"/>
      <c r="V20" s="18"/>
      <c r="W20" s="19"/>
      <c r="X20" s="18"/>
      <c r="Y20" s="19"/>
      <c r="AE20" s="164"/>
      <c r="AF20" s="164"/>
      <c r="AG20" s="164"/>
      <c r="AH20" s="164"/>
      <c r="AI20" s="164"/>
      <c r="AJ20" s="164"/>
      <c r="AK20" s="164"/>
      <c r="AL20" s="164"/>
      <c r="AM20" s="164"/>
      <c r="AN20" s="164"/>
      <c r="AO20" s="164"/>
      <c r="AP20" s="164"/>
      <c r="AQ20" s="164"/>
      <c r="AR20" s="164"/>
      <c r="AS20" s="164"/>
      <c r="AT20" s="164"/>
    </row>
    <row r="21" spans="1:69" s="162" customFormat="1">
      <c r="A21" s="167">
        <v>13</v>
      </c>
      <c r="B21" s="168" t="s">
        <v>151</v>
      </c>
      <c r="C21" s="183">
        <v>0.45</v>
      </c>
      <c r="D21" s="169">
        <f t="shared" si="2"/>
        <v>0</v>
      </c>
      <c r="E21" s="170" t="e">
        <f t="shared" si="0"/>
        <v>#DIV/0!</v>
      </c>
      <c r="F21" s="176">
        <f t="shared" si="5"/>
        <v>0</v>
      </c>
      <c r="G21" s="176">
        <f t="shared" si="5"/>
        <v>0</v>
      </c>
      <c r="H21" s="18"/>
      <c r="I21" s="19"/>
      <c r="J21" s="18"/>
      <c r="K21" s="19"/>
      <c r="L21" s="18"/>
      <c r="M21" s="19"/>
      <c r="N21" s="18"/>
      <c r="O21" s="19"/>
      <c r="P21" s="18"/>
      <c r="Q21" s="19"/>
      <c r="R21" s="18"/>
      <c r="S21" s="19"/>
      <c r="T21" s="18"/>
      <c r="U21" s="19"/>
      <c r="V21" s="18"/>
      <c r="W21" s="19"/>
      <c r="X21" s="18"/>
      <c r="Y21" s="19"/>
      <c r="AE21" s="164"/>
      <c r="AF21" s="164"/>
      <c r="AG21" s="164"/>
      <c r="AH21" s="164"/>
      <c r="AI21" s="164"/>
      <c r="AJ21" s="164"/>
      <c r="AK21" s="164"/>
      <c r="AL21" s="164"/>
      <c r="AM21" s="164"/>
      <c r="AN21" s="164"/>
      <c r="AO21" s="164"/>
      <c r="AP21" s="164"/>
      <c r="AQ21" s="164"/>
      <c r="AR21" s="164"/>
      <c r="AS21" s="164"/>
      <c r="AT21" s="164"/>
    </row>
    <row r="22" spans="1:69" s="162" customFormat="1">
      <c r="A22" s="167">
        <v>14</v>
      </c>
      <c r="B22" s="168" t="s">
        <v>152</v>
      </c>
      <c r="C22" s="183">
        <v>0.45</v>
      </c>
      <c r="D22" s="169">
        <f t="shared" si="2"/>
        <v>0</v>
      </c>
      <c r="E22" s="170" t="e">
        <f t="shared" si="0"/>
        <v>#DIV/0!</v>
      </c>
      <c r="F22" s="176">
        <f t="shared" si="5"/>
        <v>0</v>
      </c>
      <c r="G22" s="176">
        <f t="shared" si="5"/>
        <v>0</v>
      </c>
      <c r="H22" s="18"/>
      <c r="I22" s="19"/>
      <c r="J22" s="18"/>
      <c r="K22" s="19"/>
      <c r="L22" s="18"/>
      <c r="M22" s="19"/>
      <c r="N22" s="18"/>
      <c r="O22" s="19"/>
      <c r="P22" s="18"/>
      <c r="Q22" s="19"/>
      <c r="R22" s="18"/>
      <c r="S22" s="19"/>
      <c r="T22" s="18"/>
      <c r="U22" s="19"/>
      <c r="V22" s="18"/>
      <c r="W22" s="19"/>
      <c r="X22" s="18"/>
      <c r="Y22" s="19"/>
      <c r="AE22" s="164"/>
      <c r="AF22" s="164"/>
      <c r="AG22" s="164"/>
      <c r="AH22" s="164"/>
      <c r="AI22" s="164"/>
      <c r="AJ22" s="164"/>
      <c r="AK22" s="164"/>
      <c r="AL22" s="164"/>
      <c r="AM22" s="164"/>
      <c r="AN22" s="164"/>
      <c r="AO22" s="164"/>
      <c r="AP22" s="164"/>
      <c r="AQ22" s="164"/>
      <c r="AR22" s="164"/>
      <c r="AS22" s="164"/>
      <c r="AT22" s="164"/>
    </row>
    <row r="23" spans="1:69" s="162" customFormat="1">
      <c r="A23" s="167">
        <v>15</v>
      </c>
      <c r="B23" s="168" t="s">
        <v>153</v>
      </c>
      <c r="C23" s="183">
        <v>0.45</v>
      </c>
      <c r="D23" s="169">
        <f t="shared" si="2"/>
        <v>0</v>
      </c>
      <c r="E23" s="170" t="e">
        <f t="shared" si="0"/>
        <v>#DIV/0!</v>
      </c>
      <c r="F23" s="176">
        <f t="shared" si="5"/>
        <v>0</v>
      </c>
      <c r="G23" s="176">
        <f t="shared" si="5"/>
        <v>0</v>
      </c>
      <c r="H23" s="18"/>
      <c r="I23" s="19"/>
      <c r="J23" s="18"/>
      <c r="K23" s="19"/>
      <c r="L23" s="18"/>
      <c r="M23" s="19"/>
      <c r="N23" s="18"/>
      <c r="O23" s="19"/>
      <c r="P23" s="18"/>
      <c r="Q23" s="19"/>
      <c r="R23" s="18"/>
      <c r="S23" s="19"/>
      <c r="T23" s="18"/>
      <c r="U23" s="19"/>
      <c r="V23" s="18"/>
      <c r="W23" s="19"/>
      <c r="X23" s="18"/>
      <c r="Y23" s="19"/>
      <c r="AE23" s="164"/>
      <c r="AF23" s="164"/>
      <c r="AG23" s="164"/>
      <c r="AH23" s="164"/>
      <c r="AI23" s="164"/>
      <c r="AJ23" s="164"/>
      <c r="AK23" s="164"/>
      <c r="AL23" s="164"/>
      <c r="AM23" s="164"/>
      <c r="AN23" s="164"/>
      <c r="AO23" s="164"/>
      <c r="AP23" s="164"/>
      <c r="AQ23" s="164"/>
      <c r="AR23" s="164"/>
      <c r="AS23" s="164"/>
      <c r="AT23" s="164"/>
    </row>
    <row r="24" spans="1:69" s="162" customFormat="1">
      <c r="A24" s="178"/>
      <c r="B24" s="168" t="s">
        <v>154</v>
      </c>
      <c r="C24" s="180"/>
      <c r="D24" s="169">
        <f>F24+G24</f>
        <v>0</v>
      </c>
      <c r="E24" s="179" t="e">
        <f t="shared" si="0"/>
        <v>#DIV/0!</v>
      </c>
      <c r="F24" s="171">
        <f t="shared" ref="F24:Y24" si="6">F7+F8+F9+F10+F11+F12+F13+F16+F17+F18+F19+F20+F21+F22+F23</f>
        <v>0</v>
      </c>
      <c r="G24" s="171">
        <f t="shared" si="6"/>
        <v>0</v>
      </c>
      <c r="H24" s="171">
        <f t="shared" si="6"/>
        <v>0</v>
      </c>
      <c r="I24" s="171">
        <f t="shared" si="6"/>
        <v>0</v>
      </c>
      <c r="J24" s="171">
        <f t="shared" si="6"/>
        <v>0</v>
      </c>
      <c r="K24" s="171">
        <f t="shared" si="6"/>
        <v>0</v>
      </c>
      <c r="L24" s="171">
        <f t="shared" si="6"/>
        <v>0</v>
      </c>
      <c r="M24" s="171">
        <f t="shared" si="6"/>
        <v>0</v>
      </c>
      <c r="N24" s="171">
        <f t="shared" si="6"/>
        <v>0</v>
      </c>
      <c r="O24" s="171">
        <f t="shared" si="6"/>
        <v>0</v>
      </c>
      <c r="P24" s="171">
        <f t="shared" si="6"/>
        <v>0</v>
      </c>
      <c r="Q24" s="171">
        <f t="shared" si="6"/>
        <v>0</v>
      </c>
      <c r="R24" s="171">
        <f t="shared" si="6"/>
        <v>0</v>
      </c>
      <c r="S24" s="171">
        <f t="shared" si="6"/>
        <v>0</v>
      </c>
      <c r="T24" s="171">
        <f t="shared" si="6"/>
        <v>0</v>
      </c>
      <c r="U24" s="171">
        <f t="shared" si="6"/>
        <v>0</v>
      </c>
      <c r="V24" s="171">
        <f t="shared" si="6"/>
        <v>0</v>
      </c>
      <c r="W24" s="171">
        <f t="shared" si="6"/>
        <v>0</v>
      </c>
      <c r="X24" s="171">
        <f t="shared" si="6"/>
        <v>0</v>
      </c>
      <c r="Y24" s="171">
        <f t="shared" si="6"/>
        <v>0</v>
      </c>
      <c r="AE24" s="164"/>
      <c r="AF24" s="164"/>
      <c r="AG24" s="164"/>
      <c r="AH24" s="164"/>
      <c r="AI24" s="164"/>
      <c r="AJ24" s="164"/>
      <c r="AK24" s="164"/>
      <c r="AL24" s="164"/>
      <c r="AM24" s="164"/>
      <c r="AN24" s="164"/>
      <c r="AO24" s="164"/>
      <c r="AP24" s="164"/>
      <c r="AQ24" s="164"/>
      <c r="AR24" s="164"/>
      <c r="AS24" s="164"/>
      <c r="AT24" s="164"/>
    </row>
    <row r="25" spans="1:69" s="162" customFormat="1">
      <c r="A25" s="178"/>
      <c r="B25" s="168" t="s">
        <v>155</v>
      </c>
      <c r="C25" s="180"/>
      <c r="D25" s="181"/>
      <c r="E25" s="179"/>
      <c r="F25" s="182"/>
      <c r="G25" s="182"/>
      <c r="H25" s="171"/>
      <c r="I25" s="18"/>
      <c r="J25" s="171"/>
      <c r="K25" s="18"/>
      <c r="L25" s="171"/>
      <c r="M25" s="18"/>
      <c r="N25" s="171"/>
      <c r="O25" s="18"/>
      <c r="P25" s="171"/>
      <c r="Q25" s="18"/>
      <c r="R25" s="171"/>
      <c r="S25" s="18"/>
      <c r="T25" s="171"/>
      <c r="U25" s="18"/>
      <c r="V25" s="171"/>
      <c r="W25" s="18"/>
      <c r="X25" s="171"/>
      <c r="Y25" s="18"/>
      <c r="AE25" s="164"/>
      <c r="AF25" s="164"/>
      <c r="AG25" s="164"/>
      <c r="AH25" s="164"/>
      <c r="AI25" s="164"/>
      <c r="AJ25" s="164"/>
      <c r="AK25" s="164"/>
      <c r="AL25" s="164"/>
      <c r="AM25" s="164"/>
      <c r="AN25" s="164"/>
      <c r="AO25" s="164"/>
      <c r="AP25" s="164"/>
      <c r="AQ25" s="164"/>
      <c r="AR25" s="164"/>
      <c r="AS25" s="164"/>
      <c r="AT25" s="164"/>
    </row>
    <row r="26" spans="1:69" s="162" customFormat="1">
      <c r="A26" s="178"/>
      <c r="B26" s="168" t="s">
        <v>156</v>
      </c>
      <c r="C26" s="180"/>
      <c r="D26" s="181"/>
      <c r="E26" s="179"/>
      <c r="F26" s="182"/>
      <c r="G26" s="182"/>
      <c r="H26" s="171">
        <f>H24-H23</f>
        <v>0</v>
      </c>
      <c r="I26" s="171">
        <f>I24-I23-I25</f>
        <v>0</v>
      </c>
      <c r="J26" s="171">
        <f t="shared" ref="J26:Y26" si="7">J24-J23</f>
        <v>0</v>
      </c>
      <c r="K26" s="171">
        <f>K24-K23-K25</f>
        <v>0</v>
      </c>
      <c r="L26" s="171">
        <f t="shared" si="7"/>
        <v>0</v>
      </c>
      <c r="M26" s="171">
        <f>M24-M23-M25</f>
        <v>0</v>
      </c>
      <c r="N26" s="171">
        <f t="shared" si="7"/>
        <v>0</v>
      </c>
      <c r="O26" s="171">
        <f t="shared" si="7"/>
        <v>0</v>
      </c>
      <c r="P26" s="171">
        <f t="shared" si="7"/>
        <v>0</v>
      </c>
      <c r="Q26" s="171">
        <f t="shared" si="7"/>
        <v>0</v>
      </c>
      <c r="R26" s="171">
        <f t="shared" si="7"/>
        <v>0</v>
      </c>
      <c r="S26" s="171">
        <f t="shared" si="7"/>
        <v>0</v>
      </c>
      <c r="T26" s="171">
        <f t="shared" si="7"/>
        <v>0</v>
      </c>
      <c r="U26" s="171">
        <f t="shared" si="7"/>
        <v>0</v>
      </c>
      <c r="V26" s="171">
        <f t="shared" si="7"/>
        <v>0</v>
      </c>
      <c r="W26" s="171">
        <f t="shared" si="7"/>
        <v>0</v>
      </c>
      <c r="X26" s="171">
        <f t="shared" si="7"/>
        <v>0</v>
      </c>
      <c r="Y26" s="171">
        <f t="shared" si="7"/>
        <v>0</v>
      </c>
      <c r="AE26" s="164"/>
      <c r="AF26" s="164"/>
      <c r="AG26" s="164"/>
      <c r="AH26" s="164"/>
      <c r="AI26" s="164"/>
      <c r="AJ26" s="164"/>
      <c r="AK26" s="164"/>
      <c r="AL26" s="164"/>
      <c r="AM26" s="164"/>
      <c r="AN26" s="164"/>
      <c r="AO26" s="164"/>
      <c r="AP26" s="164"/>
      <c r="AQ26" s="164"/>
      <c r="AR26" s="164"/>
      <c r="AS26" s="164"/>
      <c r="AT26" s="164"/>
    </row>
    <row r="27" spans="1:69">
      <c r="A27" s="178"/>
      <c r="B27" s="168" t="s">
        <v>162</v>
      </c>
      <c r="C27" s="180"/>
      <c r="D27" s="181"/>
      <c r="E27" s="179"/>
      <c r="F27" s="182"/>
      <c r="G27" s="182"/>
      <c r="H27" s="171">
        <f t="shared" ref="H27:Y27" si="8">H24-H14-H19</f>
        <v>0</v>
      </c>
      <c r="I27" s="171">
        <f t="shared" si="8"/>
        <v>0</v>
      </c>
      <c r="J27" s="171">
        <f t="shared" si="8"/>
        <v>0</v>
      </c>
      <c r="K27" s="171">
        <f t="shared" si="8"/>
        <v>0</v>
      </c>
      <c r="L27" s="171">
        <f t="shared" si="8"/>
        <v>0</v>
      </c>
      <c r="M27" s="171">
        <f t="shared" si="8"/>
        <v>0</v>
      </c>
      <c r="N27" s="171">
        <f t="shared" si="8"/>
        <v>0</v>
      </c>
      <c r="O27" s="171">
        <f t="shared" si="8"/>
        <v>0</v>
      </c>
      <c r="P27" s="171">
        <f t="shared" si="8"/>
        <v>0</v>
      </c>
      <c r="Q27" s="171">
        <f t="shared" si="8"/>
        <v>0</v>
      </c>
      <c r="R27" s="171">
        <f t="shared" si="8"/>
        <v>0</v>
      </c>
      <c r="S27" s="171">
        <f t="shared" si="8"/>
        <v>0</v>
      </c>
      <c r="T27" s="171">
        <f t="shared" si="8"/>
        <v>0</v>
      </c>
      <c r="U27" s="171">
        <f t="shared" si="8"/>
        <v>0</v>
      </c>
      <c r="V27" s="171">
        <f t="shared" si="8"/>
        <v>0</v>
      </c>
      <c r="W27" s="171">
        <f t="shared" si="8"/>
        <v>0</v>
      </c>
      <c r="X27" s="171">
        <f t="shared" si="8"/>
        <v>0</v>
      </c>
      <c r="Y27" s="171">
        <f t="shared" si="8"/>
        <v>0</v>
      </c>
      <c r="Z27" s="162"/>
      <c r="AE27" s="164"/>
      <c r="AF27" s="164"/>
      <c r="AG27" s="164"/>
      <c r="AH27" s="164"/>
      <c r="AI27" s="164"/>
      <c r="AJ27" s="164"/>
      <c r="AK27" s="164"/>
      <c r="AL27" s="164"/>
      <c r="AM27" s="164"/>
      <c r="AN27" s="164"/>
      <c r="AO27" s="164"/>
      <c r="AP27" s="164"/>
      <c r="AQ27" s="164"/>
      <c r="AR27" s="164"/>
      <c r="AS27" s="164"/>
      <c r="AT27" s="164"/>
      <c r="BQ27" s="163"/>
    </row>
    <row r="28" spans="1:69">
      <c r="A28" s="178"/>
      <c r="B28" s="168" t="s">
        <v>163</v>
      </c>
      <c r="C28" s="180"/>
      <c r="D28" s="181"/>
      <c r="E28" s="179"/>
      <c r="F28" s="182"/>
      <c r="G28" s="182"/>
      <c r="H28" s="171">
        <f t="shared" ref="H28:Y28" si="9">H14+H19</f>
        <v>0</v>
      </c>
      <c r="I28" s="171">
        <f t="shared" si="9"/>
        <v>0</v>
      </c>
      <c r="J28" s="171">
        <f t="shared" si="9"/>
        <v>0</v>
      </c>
      <c r="K28" s="171">
        <f t="shared" si="9"/>
        <v>0</v>
      </c>
      <c r="L28" s="171">
        <f t="shared" si="9"/>
        <v>0</v>
      </c>
      <c r="M28" s="171">
        <f t="shared" si="9"/>
        <v>0</v>
      </c>
      <c r="N28" s="171">
        <f t="shared" si="9"/>
        <v>0</v>
      </c>
      <c r="O28" s="171">
        <f t="shared" si="9"/>
        <v>0</v>
      </c>
      <c r="P28" s="171">
        <f t="shared" si="9"/>
        <v>0</v>
      </c>
      <c r="Q28" s="171">
        <f t="shared" si="9"/>
        <v>0</v>
      </c>
      <c r="R28" s="171">
        <f t="shared" si="9"/>
        <v>0</v>
      </c>
      <c r="S28" s="171">
        <f t="shared" si="9"/>
        <v>0</v>
      </c>
      <c r="T28" s="171">
        <f t="shared" si="9"/>
        <v>0</v>
      </c>
      <c r="U28" s="171">
        <f t="shared" si="9"/>
        <v>0</v>
      </c>
      <c r="V28" s="171">
        <f t="shared" si="9"/>
        <v>0</v>
      </c>
      <c r="W28" s="171">
        <f t="shared" si="9"/>
        <v>0</v>
      </c>
      <c r="X28" s="171">
        <f t="shared" si="9"/>
        <v>0</v>
      </c>
      <c r="Y28" s="171">
        <f t="shared" si="9"/>
        <v>0</v>
      </c>
      <c r="Z28" s="162"/>
      <c r="AE28" s="164"/>
      <c r="AF28" s="164"/>
      <c r="AG28" s="164"/>
      <c r="AH28" s="164"/>
      <c r="AI28" s="164"/>
      <c r="AJ28" s="164"/>
      <c r="AK28" s="164"/>
      <c r="AL28" s="164"/>
      <c r="AM28" s="164"/>
      <c r="AN28" s="164"/>
      <c r="AO28" s="164"/>
      <c r="AP28" s="164"/>
      <c r="AQ28" s="164"/>
      <c r="AR28" s="164"/>
      <c r="AS28" s="164"/>
      <c r="AT28" s="164"/>
      <c r="BQ28" s="163"/>
    </row>
    <row r="29" spans="1:69" s="162" customFormat="1">
      <c r="A29" s="161"/>
    </row>
    <row r="30" spans="1:69" s="162" customFormat="1">
      <c r="A30" s="161"/>
    </row>
    <row r="31" spans="1:69" s="162" customFormat="1">
      <c r="A31" s="161"/>
    </row>
    <row r="32" spans="1:69" s="162" customFormat="1">
      <c r="A32" s="161"/>
    </row>
    <row r="33" spans="1:1" s="162" customFormat="1">
      <c r="A33" s="161"/>
    </row>
    <row r="34" spans="1:1" s="162" customFormat="1">
      <c r="A34" s="161"/>
    </row>
    <row r="35" spans="1:1" s="162" customFormat="1">
      <c r="A35" s="161"/>
    </row>
    <row r="36" spans="1:1" s="162" customFormat="1">
      <c r="A36" s="161"/>
    </row>
    <row r="37" spans="1:1" s="162" customFormat="1">
      <c r="A37" s="161"/>
    </row>
    <row r="38" spans="1:1" s="162" customFormat="1">
      <c r="A38" s="161"/>
    </row>
    <row r="39" spans="1:1" s="162" customFormat="1">
      <c r="A39" s="161"/>
    </row>
    <row r="40" spans="1:1" s="162" customFormat="1">
      <c r="A40" s="161"/>
    </row>
    <row r="41" spans="1:1" s="162" customFormat="1">
      <c r="A41" s="161"/>
    </row>
    <row r="42" spans="1:1" s="162" customFormat="1">
      <c r="A42" s="161"/>
    </row>
    <row r="43" spans="1:1" s="162" customFormat="1">
      <c r="A43" s="161"/>
    </row>
    <row r="44" spans="1:1" s="162" customFormat="1">
      <c r="A44" s="161"/>
    </row>
    <row r="45" spans="1:1" s="162" customFormat="1">
      <c r="A45" s="161"/>
    </row>
    <row r="46" spans="1:1" s="162" customFormat="1">
      <c r="A46" s="161"/>
    </row>
    <row r="47" spans="1:1" s="162" customFormat="1">
      <c r="A47" s="161"/>
    </row>
    <row r="48" spans="1:1" s="162" customFormat="1">
      <c r="A48" s="161"/>
    </row>
    <row r="49" spans="1:1" s="162" customFormat="1">
      <c r="A49" s="161"/>
    </row>
    <row r="50" spans="1:1" s="162" customFormat="1">
      <c r="A50" s="161"/>
    </row>
    <row r="51" spans="1:1" s="162" customFormat="1"/>
    <row r="52" spans="1:1" s="162" customFormat="1"/>
    <row r="53" spans="1:1" s="162" customFormat="1"/>
    <row r="54" spans="1:1" s="162" customFormat="1"/>
    <row r="55" spans="1:1" s="162" customFormat="1"/>
    <row r="56" spans="1:1" s="162" customFormat="1"/>
    <row r="57" spans="1:1" s="162" customFormat="1"/>
    <row r="58" spans="1:1" s="162" customFormat="1"/>
    <row r="59" spans="1:1" s="162" customFormat="1"/>
    <row r="60" spans="1:1" s="162" customFormat="1"/>
    <row r="61" spans="1:1" s="162" customFormat="1"/>
    <row r="62" spans="1:1" s="162" customFormat="1"/>
    <row r="63" spans="1:1" s="162" customFormat="1"/>
    <row r="64" spans="1:1" s="162" customFormat="1"/>
    <row r="65" s="162" customFormat="1"/>
    <row r="66" s="162" customFormat="1"/>
    <row r="67" s="162" customFormat="1"/>
    <row r="68" s="162" customFormat="1"/>
    <row r="69" s="162" customFormat="1"/>
    <row r="70" s="162" customFormat="1"/>
    <row r="71" s="162" customFormat="1"/>
    <row r="72" s="162" customFormat="1"/>
    <row r="73" s="162" customFormat="1"/>
    <row r="74" s="162" customFormat="1"/>
    <row r="75" s="162" customFormat="1"/>
    <row r="76" s="162" customFormat="1"/>
    <row r="77" s="162" customFormat="1"/>
    <row r="78" s="162" customFormat="1"/>
    <row r="79" s="162" customFormat="1"/>
    <row r="80" s="162" customFormat="1"/>
    <row r="81" s="162" customFormat="1"/>
    <row r="82" s="162" customFormat="1"/>
    <row r="83" s="162" customFormat="1"/>
    <row r="84" s="162" customFormat="1"/>
    <row r="85" s="162" customFormat="1"/>
    <row r="86" s="162" customFormat="1"/>
    <row r="87" s="162" customFormat="1"/>
    <row r="88" s="162" customFormat="1"/>
    <row r="89" s="162" customFormat="1"/>
    <row r="90" s="162" customFormat="1"/>
    <row r="91" s="162" customFormat="1"/>
    <row r="92" s="162" customFormat="1"/>
    <row r="93" s="162" customFormat="1"/>
    <row r="94" s="162" customFormat="1"/>
    <row r="95" s="162" customFormat="1"/>
    <row r="96" s="162" customFormat="1"/>
    <row r="97" s="162" customFormat="1"/>
    <row r="98" s="162" customFormat="1"/>
    <row r="99" s="162" customFormat="1"/>
    <row r="100" s="162" customFormat="1"/>
    <row r="101" s="162" customFormat="1"/>
    <row r="102" s="162" customFormat="1"/>
    <row r="103" s="162" customFormat="1"/>
    <row r="104" s="162" customFormat="1"/>
    <row r="105" s="162" customFormat="1"/>
    <row r="106" s="162" customFormat="1"/>
    <row r="107" s="162" customFormat="1"/>
    <row r="108" s="162" customFormat="1"/>
    <row r="109" s="162" customFormat="1"/>
    <row r="110" s="162" customFormat="1"/>
    <row r="111" s="162" customFormat="1"/>
    <row r="112" s="162" customFormat="1"/>
    <row r="113" s="162" customFormat="1"/>
    <row r="114" s="162" customFormat="1"/>
    <row r="115" s="162" customFormat="1"/>
    <row r="116" s="162" customFormat="1"/>
    <row r="117" s="162" customFormat="1"/>
    <row r="118" s="162" customFormat="1"/>
    <row r="119" s="162" customFormat="1"/>
    <row r="120" s="162" customFormat="1"/>
    <row r="121" s="162" customFormat="1"/>
    <row r="122" s="162" customFormat="1"/>
    <row r="123" s="162" customFormat="1"/>
    <row r="124" s="162" customFormat="1"/>
    <row r="125" s="162" customFormat="1"/>
    <row r="126" s="162" customFormat="1"/>
    <row r="127" s="162" customFormat="1"/>
    <row r="128" s="162" customFormat="1"/>
    <row r="129" s="162" customFormat="1"/>
    <row r="130" s="162" customFormat="1"/>
    <row r="131" s="162" customFormat="1"/>
    <row r="132" s="162" customFormat="1"/>
    <row r="133" s="162" customFormat="1"/>
    <row r="134" s="162" customFormat="1"/>
    <row r="135" s="162" customFormat="1"/>
    <row r="136" s="162" customFormat="1"/>
    <row r="137" s="162" customFormat="1"/>
    <row r="138" s="162" customFormat="1"/>
    <row r="139" s="162" customFormat="1"/>
    <row r="140" s="162" customFormat="1"/>
    <row r="141" s="162" customFormat="1"/>
    <row r="142" s="162" customFormat="1"/>
    <row r="143" s="162" customFormat="1"/>
    <row r="144" s="162" customFormat="1"/>
    <row r="145" s="162" customFormat="1"/>
    <row r="146" s="162" customFormat="1"/>
    <row r="147" s="162" customFormat="1"/>
    <row r="148" s="162" customFormat="1"/>
    <row r="149" s="162" customFormat="1"/>
    <row r="150" s="162" customFormat="1"/>
    <row r="151" s="162" customFormat="1"/>
    <row r="152" s="162" customFormat="1"/>
    <row r="153" s="162" customFormat="1"/>
    <row r="154" s="162" customFormat="1"/>
    <row r="155" s="162" customFormat="1"/>
    <row r="156" s="162" customFormat="1"/>
    <row r="157" s="162" customFormat="1"/>
    <row r="158" s="162" customFormat="1"/>
    <row r="159" s="162" customFormat="1"/>
    <row r="160" s="162" customFormat="1"/>
    <row r="161" s="162" customFormat="1"/>
    <row r="162" s="162" customFormat="1"/>
    <row r="163" s="162" customFormat="1"/>
    <row r="164" s="162" customFormat="1"/>
    <row r="165" s="162" customFormat="1"/>
    <row r="166" s="162" customFormat="1"/>
    <row r="167" s="162" customFormat="1"/>
    <row r="168" s="162" customFormat="1"/>
    <row r="169" s="162" customFormat="1"/>
    <row r="170" s="162" customFormat="1"/>
    <row r="171" s="162" customFormat="1"/>
    <row r="172" s="162" customFormat="1"/>
    <row r="173" s="162" customFormat="1"/>
    <row r="174" s="162" customFormat="1"/>
    <row r="175" s="162" customFormat="1"/>
    <row r="176" s="162" customFormat="1"/>
    <row r="177" s="162" customFormat="1"/>
    <row r="178" s="162" customFormat="1"/>
    <row r="179" s="162" customFormat="1"/>
    <row r="180" s="162" customFormat="1"/>
    <row r="181" s="162" customFormat="1"/>
    <row r="182" s="162" customFormat="1"/>
    <row r="183" s="162" customFormat="1"/>
    <row r="184" s="162" customFormat="1"/>
    <row r="185" s="162" customFormat="1"/>
    <row r="186" s="162" customFormat="1"/>
    <row r="187" s="162" customFormat="1"/>
    <row r="188" s="162" customFormat="1"/>
    <row r="189" s="162" customFormat="1"/>
    <row r="190" s="162" customFormat="1"/>
    <row r="191" s="162" customFormat="1"/>
    <row r="192" s="162" customFormat="1"/>
    <row r="193" s="162" customFormat="1"/>
    <row r="194" s="162" customFormat="1"/>
    <row r="195" s="162" customFormat="1"/>
    <row r="196" s="162" customFormat="1"/>
    <row r="197" s="162" customFormat="1"/>
    <row r="198" s="162" customFormat="1"/>
    <row r="199" s="162" customFormat="1"/>
    <row r="200" s="162" customFormat="1"/>
    <row r="201" s="162" customFormat="1"/>
    <row r="202" s="162" customFormat="1"/>
    <row r="203" s="162" customFormat="1"/>
    <row r="204" s="162" customFormat="1"/>
    <row r="205" s="162" customFormat="1"/>
    <row r="206" s="162" customFormat="1"/>
    <row r="207" s="162" customFormat="1"/>
    <row r="208" s="162" customFormat="1"/>
    <row r="209" s="162" customFormat="1"/>
    <row r="210" s="162" customFormat="1"/>
    <row r="211" s="162" customFormat="1"/>
    <row r="212" s="162" customFormat="1"/>
    <row r="213" s="162" customFormat="1"/>
    <row r="214" s="162" customFormat="1"/>
    <row r="215" s="162" customFormat="1"/>
    <row r="216" s="162" customFormat="1"/>
    <row r="217" s="162" customFormat="1"/>
    <row r="218" s="162" customFormat="1"/>
    <row r="219" s="162" customFormat="1"/>
    <row r="220" s="162" customFormat="1"/>
    <row r="221" s="162" customFormat="1"/>
    <row r="222" s="162" customFormat="1"/>
    <row r="223" s="162" customFormat="1"/>
    <row r="224" s="162" customFormat="1"/>
    <row r="225" s="162" customFormat="1"/>
    <row r="226" s="162" customFormat="1"/>
    <row r="227" s="162" customFormat="1"/>
    <row r="228" s="162" customFormat="1"/>
    <row r="229" s="162" customFormat="1"/>
    <row r="230" s="162" customFormat="1"/>
    <row r="231" s="162" customFormat="1"/>
    <row r="232" s="162" customFormat="1"/>
    <row r="233" s="162" customFormat="1"/>
    <row r="234" s="162" customFormat="1"/>
    <row r="235" s="162" customFormat="1"/>
    <row r="236" s="162" customFormat="1"/>
    <row r="237" s="162" customFormat="1"/>
    <row r="238" s="162" customFormat="1"/>
    <row r="239" s="162" customFormat="1"/>
    <row r="240" s="162" customFormat="1"/>
    <row r="241" s="162" customFormat="1"/>
    <row r="242" s="162" customFormat="1"/>
    <row r="243" s="162" customFormat="1"/>
    <row r="244" s="162" customFormat="1"/>
    <row r="245" s="162" customFormat="1"/>
    <row r="246" s="162" customFormat="1"/>
    <row r="247" s="162" customFormat="1"/>
    <row r="248" s="162" customFormat="1"/>
    <row r="249" s="162" customFormat="1"/>
    <row r="250" s="162" customFormat="1"/>
    <row r="251" s="162" customFormat="1"/>
    <row r="252" s="162" customFormat="1"/>
    <row r="253" s="162" customFormat="1"/>
    <row r="254" s="162" customFormat="1"/>
    <row r="255" s="162" customFormat="1"/>
    <row r="256" s="162" customFormat="1"/>
    <row r="257" s="162" customFormat="1"/>
    <row r="258" s="162" customFormat="1"/>
    <row r="259" s="162" customFormat="1"/>
    <row r="260" s="162" customFormat="1"/>
    <row r="261" s="162" customFormat="1"/>
    <row r="262" s="162" customFormat="1"/>
    <row r="263" s="162" customFormat="1"/>
    <row r="264" s="162" customFormat="1"/>
    <row r="265" s="162" customFormat="1"/>
    <row r="266" s="162" customFormat="1"/>
    <row r="267" s="162" customFormat="1"/>
    <row r="268" s="162" customFormat="1"/>
    <row r="269" s="162" customFormat="1"/>
    <row r="270" s="162" customFormat="1"/>
    <row r="271" s="162" customFormat="1"/>
    <row r="272" s="162" customFormat="1"/>
    <row r="273" s="162" customFormat="1"/>
    <row r="274" s="162" customFormat="1"/>
    <row r="275" s="162" customFormat="1"/>
    <row r="276" s="162" customFormat="1"/>
    <row r="277" s="162" customFormat="1"/>
    <row r="278" s="162" customFormat="1"/>
    <row r="279" s="162" customFormat="1"/>
    <row r="280" s="162" customFormat="1"/>
    <row r="281" s="162" customFormat="1"/>
    <row r="282" s="162" customFormat="1"/>
    <row r="283" s="162" customFormat="1"/>
    <row r="284" s="162" customFormat="1"/>
    <row r="285" s="162" customFormat="1"/>
    <row r="286" s="162" customFormat="1"/>
    <row r="287" s="162" customFormat="1"/>
    <row r="288" s="162" customFormat="1"/>
    <row r="289" s="162" customFormat="1"/>
    <row r="290" s="162" customFormat="1"/>
    <row r="291" s="162" customFormat="1"/>
    <row r="292" s="162" customFormat="1"/>
    <row r="293" s="162" customFormat="1"/>
    <row r="294" s="162" customFormat="1"/>
    <row r="295" s="162" customFormat="1"/>
    <row r="296" s="162" customFormat="1"/>
    <row r="297" s="162" customFormat="1"/>
    <row r="298" s="162" customFormat="1"/>
    <row r="299" s="162" customFormat="1"/>
    <row r="300" s="162" customFormat="1"/>
    <row r="301" s="162" customFormat="1"/>
    <row r="302" s="162" customFormat="1"/>
    <row r="303" s="162" customFormat="1"/>
    <row r="304" s="162" customFormat="1"/>
    <row r="305" s="162" customFormat="1"/>
    <row r="306" s="162" customFormat="1"/>
    <row r="307" s="162" customFormat="1"/>
    <row r="308" s="162" customFormat="1"/>
    <row r="309" s="162" customFormat="1"/>
    <row r="310" s="162" customFormat="1"/>
    <row r="311" s="162" customFormat="1"/>
    <row r="312" s="162" customFormat="1"/>
    <row r="313" s="162" customFormat="1"/>
    <row r="314" s="162" customFormat="1"/>
    <row r="315" s="162" customFormat="1"/>
    <row r="316" s="162" customFormat="1"/>
    <row r="317" s="162" customFormat="1"/>
    <row r="318" s="162" customFormat="1"/>
    <row r="319" s="162" customFormat="1"/>
    <row r="320" s="162" customFormat="1"/>
    <row r="321" s="162" customFormat="1"/>
    <row r="322" s="162" customFormat="1"/>
    <row r="323" s="162" customFormat="1"/>
    <row r="324" s="162" customFormat="1"/>
    <row r="325" s="162" customFormat="1"/>
    <row r="326" s="162" customFormat="1"/>
    <row r="327" s="162" customFormat="1"/>
    <row r="328" s="162" customFormat="1"/>
    <row r="329" s="162" customFormat="1"/>
    <row r="330" s="162" customFormat="1"/>
    <row r="331" s="162" customFormat="1"/>
    <row r="332" s="162" customFormat="1"/>
    <row r="333" s="162" customFormat="1"/>
    <row r="334" s="162" customFormat="1"/>
    <row r="335" s="162" customFormat="1"/>
    <row r="336" s="162" customFormat="1"/>
    <row r="337" s="162" customFormat="1"/>
    <row r="338" s="162" customFormat="1"/>
    <row r="339" s="162" customFormat="1"/>
    <row r="340" s="162" customFormat="1"/>
    <row r="341" s="162" customFormat="1"/>
    <row r="342" s="162" customFormat="1"/>
    <row r="343" s="162" customFormat="1"/>
    <row r="344" s="162" customFormat="1"/>
    <row r="345" s="162" customFormat="1"/>
    <row r="346" s="162" customFormat="1"/>
    <row r="347" s="162" customFormat="1"/>
    <row r="348" s="162" customFormat="1"/>
    <row r="349" s="162" customFormat="1"/>
    <row r="350" s="162" customFormat="1"/>
    <row r="351" s="162" customFormat="1"/>
    <row r="352" s="162" customFormat="1"/>
    <row r="353" s="162" customFormat="1"/>
    <row r="354" s="162" customFormat="1"/>
    <row r="355" s="162" customFormat="1"/>
    <row r="356" s="162" customFormat="1"/>
    <row r="357" s="162" customFormat="1"/>
    <row r="358" s="162" customFormat="1"/>
    <row r="359" s="162" customFormat="1"/>
    <row r="360" s="162" customFormat="1"/>
    <row r="361" s="162" customFormat="1"/>
    <row r="362" s="162" customFormat="1"/>
    <row r="363" s="162" customFormat="1"/>
    <row r="364" s="162" customFormat="1"/>
    <row r="365" s="162" customFormat="1"/>
    <row r="366" s="162" customFormat="1"/>
    <row r="367" s="162" customFormat="1"/>
    <row r="368" s="162" customFormat="1"/>
    <row r="369" s="162" customFormat="1"/>
    <row r="370" s="162" customFormat="1"/>
    <row r="371" s="162" customFormat="1"/>
    <row r="372" s="162" customFormat="1"/>
    <row r="373" s="162" customFormat="1"/>
    <row r="374" s="162" customFormat="1"/>
    <row r="375" s="162" customFormat="1"/>
    <row r="376" s="162" customFormat="1"/>
    <row r="377" s="162" customFormat="1"/>
    <row r="378" s="162" customFormat="1"/>
    <row r="379" s="162" customFormat="1"/>
    <row r="380" s="162" customFormat="1"/>
    <row r="381" s="162" customFormat="1"/>
    <row r="382" s="162" customFormat="1"/>
    <row r="383" s="162" customFormat="1"/>
    <row r="384" s="162" customFormat="1"/>
    <row r="385" s="162" customFormat="1"/>
    <row r="386" s="162" customFormat="1"/>
    <row r="387" s="162" customFormat="1"/>
    <row r="388" s="162" customFormat="1"/>
    <row r="389" s="162" customFormat="1"/>
    <row r="390" s="162" customFormat="1"/>
    <row r="391" s="162" customFormat="1"/>
    <row r="392" s="162" customFormat="1"/>
    <row r="393" s="162" customFormat="1"/>
    <row r="394" s="162"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N16" activePane="bottomRight" state="frozen"/>
      <selection pane="bottomRight" activeCell="N36" sqref="N36"/>
      <selection pane="bottomLeft" activeCell="A9" sqref="A9"/>
      <selection pane="topRight" activeCell="E1" sqref="E1"/>
    </sheetView>
  </sheetViews>
  <sheetFormatPr defaultColWidth="9.140625" defaultRowHeight="12.75"/>
  <cols>
    <col min="1" max="1" width="1.28515625" style="195" customWidth="1"/>
    <col min="2" max="2" width="7.5703125" style="195" customWidth="1"/>
    <col min="3" max="3" width="42.42578125" style="195" customWidth="1"/>
    <col min="4" max="4" width="9.140625" style="195"/>
    <col min="5" max="35" width="13.85546875" style="195" customWidth="1"/>
    <col min="36" max="16384" width="9.140625" style="195"/>
  </cols>
  <sheetData>
    <row r="1" spans="1:55" s="1" customFormat="1" ht="27" customHeight="1">
      <c r="A1" s="568" t="s">
        <v>187</v>
      </c>
      <c r="B1" s="568"/>
      <c r="C1" s="56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3" t="s">
        <v>188</v>
      </c>
      <c r="B2" s="263"/>
      <c r="C2" s="263"/>
      <c r="D2" s="14"/>
    </row>
    <row r="3" spans="1:55">
      <c r="A3" s="192"/>
      <c r="B3" s="192"/>
      <c r="C3" s="192"/>
      <c r="D3" s="193"/>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4"/>
    </row>
    <row r="4" spans="1:55">
      <c r="A4" s="264"/>
      <c r="B4" s="197"/>
      <c r="C4" s="198"/>
      <c r="D4" s="199"/>
      <c r="E4" s="200">
        <v>1</v>
      </c>
      <c r="F4" s="200">
        <v>2</v>
      </c>
      <c r="G4" s="200">
        <v>3</v>
      </c>
      <c r="H4" s="200">
        <v>4</v>
      </c>
      <c r="I4" s="200">
        <v>5</v>
      </c>
      <c r="J4" s="200">
        <v>6</v>
      </c>
      <c r="K4" s="200">
        <v>7</v>
      </c>
      <c r="L4" s="200">
        <v>8</v>
      </c>
      <c r="M4" s="200">
        <v>9</v>
      </c>
      <c r="N4" s="200">
        <v>10</v>
      </c>
      <c r="O4" s="200">
        <v>11</v>
      </c>
      <c r="P4" s="200">
        <v>12</v>
      </c>
      <c r="Q4" s="200">
        <v>13</v>
      </c>
      <c r="R4" s="200">
        <v>14</v>
      </c>
      <c r="S4" s="200">
        <v>15</v>
      </c>
      <c r="T4" s="200">
        <v>16</v>
      </c>
      <c r="U4" s="200">
        <v>17</v>
      </c>
      <c r="V4" s="200">
        <v>18</v>
      </c>
      <c r="W4" s="200">
        <v>19</v>
      </c>
      <c r="X4" s="200">
        <v>20</v>
      </c>
      <c r="Y4" s="200">
        <v>21</v>
      </c>
      <c r="Z4" s="200">
        <v>22</v>
      </c>
      <c r="AA4" s="200">
        <v>23</v>
      </c>
      <c r="AB4" s="200">
        <v>24</v>
      </c>
      <c r="AC4" s="200">
        <v>25</v>
      </c>
      <c r="AD4" s="200">
        <v>26</v>
      </c>
      <c r="AE4" s="200">
        <v>27</v>
      </c>
      <c r="AF4" s="200">
        <v>28</v>
      </c>
      <c r="AG4" s="200">
        <v>29</v>
      </c>
      <c r="AH4" s="200">
        <v>30</v>
      </c>
      <c r="AI4" s="201"/>
    </row>
    <row r="5" spans="1:55">
      <c r="A5" s="265"/>
      <c r="B5" s="203"/>
      <c r="C5" s="203"/>
      <c r="D5" s="204" t="s">
        <v>189</v>
      </c>
      <c r="E5" s="205">
        <f>'Dati par projektu'!E13</f>
        <v>2024</v>
      </c>
      <c r="F5" s="205">
        <f>E5+1</f>
        <v>2025</v>
      </c>
      <c r="G5" s="205">
        <f t="shared" ref="G5:AH5" si="0">F5+1</f>
        <v>2026</v>
      </c>
      <c r="H5" s="205">
        <f t="shared" si="0"/>
        <v>2027</v>
      </c>
      <c r="I5" s="205">
        <f t="shared" si="0"/>
        <v>2028</v>
      </c>
      <c r="J5" s="205">
        <f t="shared" si="0"/>
        <v>2029</v>
      </c>
      <c r="K5" s="205">
        <f t="shared" si="0"/>
        <v>2030</v>
      </c>
      <c r="L5" s="205">
        <f t="shared" si="0"/>
        <v>2031</v>
      </c>
      <c r="M5" s="205">
        <f t="shared" si="0"/>
        <v>2032</v>
      </c>
      <c r="N5" s="205">
        <f t="shared" si="0"/>
        <v>2033</v>
      </c>
      <c r="O5" s="205">
        <f t="shared" si="0"/>
        <v>2034</v>
      </c>
      <c r="P5" s="205">
        <f t="shared" si="0"/>
        <v>2035</v>
      </c>
      <c r="Q5" s="205">
        <f t="shared" si="0"/>
        <v>2036</v>
      </c>
      <c r="R5" s="205">
        <f t="shared" si="0"/>
        <v>2037</v>
      </c>
      <c r="S5" s="205">
        <f t="shared" si="0"/>
        <v>2038</v>
      </c>
      <c r="T5" s="205">
        <f t="shared" si="0"/>
        <v>2039</v>
      </c>
      <c r="U5" s="205">
        <f t="shared" si="0"/>
        <v>2040</v>
      </c>
      <c r="V5" s="205">
        <f t="shared" si="0"/>
        <v>2041</v>
      </c>
      <c r="W5" s="205">
        <f t="shared" si="0"/>
        <v>2042</v>
      </c>
      <c r="X5" s="205">
        <f t="shared" si="0"/>
        <v>2043</v>
      </c>
      <c r="Y5" s="205">
        <f t="shared" si="0"/>
        <v>2044</v>
      </c>
      <c r="Z5" s="205">
        <f t="shared" si="0"/>
        <v>2045</v>
      </c>
      <c r="AA5" s="205">
        <f t="shared" si="0"/>
        <v>2046</v>
      </c>
      <c r="AB5" s="205">
        <f t="shared" si="0"/>
        <v>2047</v>
      </c>
      <c r="AC5" s="205">
        <f t="shared" si="0"/>
        <v>2048</v>
      </c>
      <c r="AD5" s="205">
        <f t="shared" si="0"/>
        <v>2049</v>
      </c>
      <c r="AE5" s="205">
        <f t="shared" si="0"/>
        <v>2050</v>
      </c>
      <c r="AF5" s="205">
        <f t="shared" si="0"/>
        <v>2051</v>
      </c>
      <c r="AG5" s="205">
        <f t="shared" si="0"/>
        <v>2052</v>
      </c>
      <c r="AH5" s="205">
        <f t="shared" si="0"/>
        <v>2053</v>
      </c>
      <c r="AI5" s="206" t="s">
        <v>190</v>
      </c>
    </row>
    <row r="6" spans="1:55">
      <c r="A6" s="226"/>
      <c r="B6" s="226"/>
      <c r="C6" s="22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row>
    <row r="7" spans="1:55">
      <c r="A7" s="268"/>
      <c r="B7" s="269" t="s">
        <v>191</v>
      </c>
      <c r="C7" s="269"/>
      <c r="D7" s="269"/>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1"/>
    </row>
    <row r="8" spans="1:55">
      <c r="A8" s="226"/>
      <c r="B8" s="226"/>
      <c r="C8" s="226"/>
      <c r="D8" s="266"/>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row>
    <row r="9" spans="1:55" ht="13.5" hidden="1" customHeight="1">
      <c r="A9" s="272"/>
      <c r="B9" s="273">
        <v>1</v>
      </c>
      <c r="C9" s="217" t="s">
        <v>192</v>
      </c>
      <c r="D9" s="218" t="s">
        <v>133</v>
      </c>
      <c r="E9" s="274">
        <f>SUM(E10:E15)</f>
        <v>0</v>
      </c>
      <c r="F9" s="274">
        <f t="shared" ref="F9:AG9" si="1">SUM(F10:F15)</f>
        <v>0</v>
      </c>
      <c r="G9" s="274">
        <f t="shared" si="1"/>
        <v>0</v>
      </c>
      <c r="H9" s="274">
        <f t="shared" si="1"/>
        <v>0</v>
      </c>
      <c r="I9" s="274">
        <f t="shared" si="1"/>
        <v>0</v>
      </c>
      <c r="J9" s="274">
        <f t="shared" si="1"/>
        <v>0</v>
      </c>
      <c r="K9" s="274">
        <f t="shared" si="1"/>
        <v>0</v>
      </c>
      <c r="L9" s="274">
        <f t="shared" si="1"/>
        <v>0</v>
      </c>
      <c r="M9" s="274">
        <f t="shared" si="1"/>
        <v>0</v>
      </c>
      <c r="N9" s="274">
        <f t="shared" si="1"/>
        <v>0</v>
      </c>
      <c r="O9" s="274">
        <f t="shared" si="1"/>
        <v>0</v>
      </c>
      <c r="P9" s="274">
        <f t="shared" si="1"/>
        <v>0</v>
      </c>
      <c r="Q9" s="274">
        <f t="shared" si="1"/>
        <v>0</v>
      </c>
      <c r="R9" s="274">
        <f t="shared" si="1"/>
        <v>0</v>
      </c>
      <c r="S9" s="274">
        <f t="shared" si="1"/>
        <v>0</v>
      </c>
      <c r="T9" s="274">
        <f t="shared" si="1"/>
        <v>0</v>
      </c>
      <c r="U9" s="274">
        <f t="shared" si="1"/>
        <v>0</v>
      </c>
      <c r="V9" s="274">
        <f t="shared" si="1"/>
        <v>0</v>
      </c>
      <c r="W9" s="274">
        <f t="shared" si="1"/>
        <v>0</v>
      </c>
      <c r="X9" s="274">
        <f t="shared" si="1"/>
        <v>0</v>
      </c>
      <c r="Y9" s="274">
        <f t="shared" si="1"/>
        <v>0</v>
      </c>
      <c r="Z9" s="274">
        <f t="shared" si="1"/>
        <v>0</v>
      </c>
      <c r="AA9" s="274">
        <f t="shared" si="1"/>
        <v>0</v>
      </c>
      <c r="AB9" s="274">
        <f t="shared" si="1"/>
        <v>0</v>
      </c>
      <c r="AC9" s="274">
        <f t="shared" si="1"/>
        <v>0</v>
      </c>
      <c r="AD9" s="274">
        <f t="shared" si="1"/>
        <v>0</v>
      </c>
      <c r="AE9" s="274">
        <f t="shared" si="1"/>
        <v>0</v>
      </c>
      <c r="AF9" s="274">
        <f t="shared" si="1"/>
        <v>0</v>
      </c>
      <c r="AG9" s="274">
        <f t="shared" si="1"/>
        <v>0</v>
      </c>
      <c r="AH9" s="274">
        <f>SUM(AH10:AH15)</f>
        <v>0</v>
      </c>
      <c r="AI9" s="275">
        <f>SUM(E9:AH9)</f>
        <v>0</v>
      </c>
    </row>
    <row r="10" spans="1:55" ht="13.5" hidden="1" customHeight="1">
      <c r="A10" s="221"/>
      <c r="B10" s="276" t="s">
        <v>98</v>
      </c>
      <c r="C10" s="250" t="str">
        <f>'3. DL invest.n.pl.AR pr.'!C10</f>
        <v>Ieņēmumi ...</v>
      </c>
      <c r="D10" s="224" t="s">
        <v>133</v>
      </c>
      <c r="E10" s="23"/>
      <c r="F10" s="23"/>
      <c r="G10" s="23"/>
      <c r="H10" s="23"/>
      <c r="I10" s="23"/>
      <c r="J10" s="23"/>
      <c r="K10" s="23"/>
      <c r="L10" s="23"/>
      <c r="M10" s="23"/>
      <c r="N10" s="23"/>
      <c r="O10" s="23"/>
      <c r="P10" s="23"/>
      <c r="Q10" s="23"/>
      <c r="R10" s="23"/>
      <c r="S10" s="23"/>
      <c r="T10" s="25"/>
      <c r="U10" s="25"/>
      <c r="V10" s="25"/>
      <c r="W10" s="25"/>
      <c r="X10" s="25"/>
      <c r="Y10" s="25"/>
      <c r="Z10" s="25"/>
      <c r="AA10" s="25"/>
      <c r="AB10" s="25"/>
      <c r="AC10" s="25"/>
      <c r="AD10" s="25"/>
      <c r="AE10" s="25"/>
      <c r="AF10" s="25"/>
      <c r="AG10" s="25"/>
      <c r="AH10" s="25"/>
      <c r="AI10" s="277">
        <f>SUM(E10:AH10)</f>
        <v>0</v>
      </c>
    </row>
    <row r="11" spans="1:55" ht="13.5" hidden="1" customHeight="1">
      <c r="A11" s="221"/>
      <c r="B11" s="276" t="s">
        <v>100</v>
      </c>
      <c r="C11" s="250" t="str">
        <f>'3. DL invest.n.pl.AR pr.'!C11</f>
        <v>Ieņēmumi ...</v>
      </c>
      <c r="D11" s="224"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7">
        <f>SUM(E11:AH11)</f>
        <v>0</v>
      </c>
    </row>
    <row r="12" spans="1:55" ht="13.5" hidden="1" customHeight="1">
      <c r="A12" s="221"/>
      <c r="B12" s="276" t="s">
        <v>102</v>
      </c>
      <c r="C12" s="250" t="str">
        <f>'3. DL invest.n.pl.AR pr.'!C12</f>
        <v>Ieņēmumi ...</v>
      </c>
      <c r="D12" s="224"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7">
        <f t="shared" ref="AI12:AI22" si="2">SUM(E12:AH12)</f>
        <v>0</v>
      </c>
    </row>
    <row r="13" spans="1:55" ht="13.5" hidden="1" customHeight="1">
      <c r="A13" s="221"/>
      <c r="B13" s="276" t="s">
        <v>104</v>
      </c>
      <c r="C13" s="250" t="str">
        <f>'3. DL invest.n.pl.AR pr.'!C13</f>
        <v>Ieņēmumi ...</v>
      </c>
      <c r="D13" s="224"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7">
        <f t="shared" si="2"/>
        <v>0</v>
      </c>
    </row>
    <row r="14" spans="1:55" ht="13.5" hidden="1" customHeight="1">
      <c r="A14" s="221"/>
      <c r="B14" s="276" t="s">
        <v>106</v>
      </c>
      <c r="C14" s="250" t="str">
        <f>'3. DL invest.n.pl.AR pr.'!C14</f>
        <v>Ieņēmumi ...</v>
      </c>
      <c r="D14" s="224"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7">
        <f t="shared" si="2"/>
        <v>0</v>
      </c>
    </row>
    <row r="15" spans="1:55" ht="13.5" hidden="1" customHeight="1">
      <c r="A15" s="221"/>
      <c r="B15" s="276" t="s">
        <v>109</v>
      </c>
      <c r="C15" s="250" t="str">
        <f>'3. DL invest.n.pl.AR pr.'!C15</f>
        <v>Ieņēmumi ...</v>
      </c>
      <c r="D15" s="224"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7">
        <f t="shared" si="2"/>
        <v>0</v>
      </c>
    </row>
    <row r="16" spans="1:55" ht="13.5" customHeight="1">
      <c r="A16" s="221"/>
      <c r="B16" s="278">
        <v>2</v>
      </c>
      <c r="C16" s="223" t="s">
        <v>193</v>
      </c>
      <c r="D16" s="229" t="s">
        <v>133</v>
      </c>
      <c r="E16" s="279">
        <f>SUM(E17:E22)</f>
        <v>-3000</v>
      </c>
      <c r="F16" s="279">
        <f t="shared" ref="F16:AH16" si="3">SUM(F17:F22)</f>
        <v>-3000</v>
      </c>
      <c r="G16" s="279">
        <f t="shared" si="3"/>
        <v>-3000</v>
      </c>
      <c r="H16" s="279">
        <f t="shared" si="3"/>
        <v>-3000</v>
      </c>
      <c r="I16" s="279">
        <f t="shared" si="3"/>
        <v>-23000</v>
      </c>
      <c r="J16" s="279">
        <f t="shared" si="3"/>
        <v>-3000</v>
      </c>
      <c r="K16" s="279">
        <f t="shared" si="3"/>
        <v>-3000</v>
      </c>
      <c r="L16" s="279">
        <f t="shared" si="3"/>
        <v>-3000</v>
      </c>
      <c r="M16" s="279">
        <f t="shared" si="3"/>
        <v>-3000</v>
      </c>
      <c r="N16" s="279">
        <f t="shared" si="3"/>
        <v>-23000</v>
      </c>
      <c r="O16" s="279">
        <f t="shared" si="3"/>
        <v>-3000</v>
      </c>
      <c r="P16" s="279">
        <f t="shared" si="3"/>
        <v>-3000</v>
      </c>
      <c r="Q16" s="279">
        <f t="shared" si="3"/>
        <v>-3000</v>
      </c>
      <c r="R16" s="279">
        <f t="shared" si="3"/>
        <v>-3000</v>
      </c>
      <c r="S16" s="279">
        <f t="shared" si="3"/>
        <v>-3000</v>
      </c>
      <c r="T16" s="279">
        <f t="shared" si="3"/>
        <v>0</v>
      </c>
      <c r="U16" s="279">
        <f t="shared" si="3"/>
        <v>0</v>
      </c>
      <c r="V16" s="279">
        <f t="shared" si="3"/>
        <v>0</v>
      </c>
      <c r="W16" s="279">
        <f t="shared" si="3"/>
        <v>0</v>
      </c>
      <c r="X16" s="279">
        <f t="shared" si="3"/>
        <v>0</v>
      </c>
      <c r="Y16" s="279">
        <f t="shared" si="3"/>
        <v>0</v>
      </c>
      <c r="Z16" s="279">
        <f t="shared" si="3"/>
        <v>0</v>
      </c>
      <c r="AA16" s="279">
        <f t="shared" si="3"/>
        <v>0</v>
      </c>
      <c r="AB16" s="279">
        <f t="shared" si="3"/>
        <v>0</v>
      </c>
      <c r="AC16" s="279">
        <f t="shared" si="3"/>
        <v>0</v>
      </c>
      <c r="AD16" s="279">
        <f t="shared" si="3"/>
        <v>0</v>
      </c>
      <c r="AE16" s="279">
        <f t="shared" si="3"/>
        <v>0</v>
      </c>
      <c r="AF16" s="279">
        <f t="shared" si="3"/>
        <v>0</v>
      </c>
      <c r="AG16" s="279">
        <f t="shared" si="3"/>
        <v>0</v>
      </c>
      <c r="AH16" s="279">
        <f t="shared" si="3"/>
        <v>0</v>
      </c>
      <c r="AI16" s="277">
        <f>SUM(E16:AH16)</f>
        <v>-85000</v>
      </c>
    </row>
    <row r="17" spans="1:35" ht="13.5" customHeight="1">
      <c r="A17" s="221"/>
      <c r="B17" s="276" t="s">
        <v>194</v>
      </c>
      <c r="C17" s="250" t="str">
        <f>'3. DL invest.n.pl.AR pr.'!C17</f>
        <v>Iekārtas uzturēšanas izmaksas</v>
      </c>
      <c r="D17" s="224" t="s">
        <v>133</v>
      </c>
      <c r="E17" s="25">
        <v>-3000</v>
      </c>
      <c r="F17" s="25">
        <v>-3000</v>
      </c>
      <c r="G17" s="25">
        <v>-3000</v>
      </c>
      <c r="H17" s="25">
        <v>-3000</v>
      </c>
      <c r="I17" s="25">
        <v>-3000</v>
      </c>
      <c r="J17" s="25">
        <v>-3000</v>
      </c>
      <c r="K17" s="25">
        <v>-3000</v>
      </c>
      <c r="L17" s="25">
        <v>-3000</v>
      </c>
      <c r="M17" s="25">
        <v>-3000</v>
      </c>
      <c r="N17" s="25">
        <v>-3000</v>
      </c>
      <c r="O17" s="25">
        <v>-3000</v>
      </c>
      <c r="P17" s="25">
        <v>-3000</v>
      </c>
      <c r="Q17" s="25">
        <v>-3000</v>
      </c>
      <c r="R17" s="25">
        <v>-3000</v>
      </c>
      <c r="S17" s="25">
        <v>-3000</v>
      </c>
      <c r="T17" s="25"/>
      <c r="U17" s="25"/>
      <c r="V17" s="25"/>
      <c r="W17" s="25"/>
      <c r="X17" s="25"/>
      <c r="Y17" s="25"/>
      <c r="Z17" s="25"/>
      <c r="AA17" s="25"/>
      <c r="AB17" s="25"/>
      <c r="AC17" s="25"/>
      <c r="AD17" s="25"/>
      <c r="AE17" s="25"/>
      <c r="AF17" s="25"/>
      <c r="AG17" s="25"/>
      <c r="AH17" s="25"/>
      <c r="AI17" s="277">
        <f t="shared" si="2"/>
        <v>-45000</v>
      </c>
    </row>
    <row r="18" spans="1:35" ht="13.5" customHeight="1">
      <c r="A18" s="221"/>
      <c r="B18" s="276" t="s">
        <v>195</v>
      </c>
      <c r="C18" s="250" t="str">
        <f>'3. DL invest.n.pl.AR pr.'!C18</f>
        <v>Papildu remonta/investīciju izmaksas</v>
      </c>
      <c r="D18" s="224" t="s">
        <v>133</v>
      </c>
      <c r="E18" s="25"/>
      <c r="F18" s="25"/>
      <c r="G18" s="25"/>
      <c r="H18" s="25"/>
      <c r="I18" s="25">
        <v>-20000</v>
      </c>
      <c r="J18" s="25"/>
      <c r="K18" s="25"/>
      <c r="L18" s="25"/>
      <c r="M18" s="25"/>
      <c r="N18" s="25">
        <v>-20000</v>
      </c>
      <c r="O18" s="25"/>
      <c r="P18" s="25"/>
      <c r="Q18" s="25"/>
      <c r="R18" s="25"/>
      <c r="S18" s="25"/>
      <c r="T18" s="25"/>
      <c r="U18" s="25"/>
      <c r="V18" s="25"/>
      <c r="W18" s="25"/>
      <c r="X18" s="25"/>
      <c r="Y18" s="25"/>
      <c r="Z18" s="25"/>
      <c r="AA18" s="25"/>
      <c r="AB18" s="25"/>
      <c r="AC18" s="25"/>
      <c r="AD18" s="25"/>
      <c r="AE18" s="25"/>
      <c r="AF18" s="25"/>
      <c r="AG18" s="25"/>
      <c r="AH18" s="25"/>
      <c r="AI18" s="277">
        <f t="shared" si="2"/>
        <v>-40000</v>
      </c>
    </row>
    <row r="19" spans="1:35" ht="15.75" customHeight="1">
      <c r="A19" s="221"/>
      <c r="B19" s="276" t="s">
        <v>196</v>
      </c>
      <c r="C19" s="250" t="str">
        <f>'3. DL invest.n.pl.AR pr.'!C19</f>
        <v>Darbības izmaksas....</v>
      </c>
      <c r="D19" s="224"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7">
        <f t="shared" si="2"/>
        <v>0</v>
      </c>
    </row>
    <row r="20" spans="1:35" ht="15.75" customHeight="1">
      <c r="A20" s="221"/>
      <c r="B20" s="276" t="s">
        <v>197</v>
      </c>
      <c r="C20" s="250" t="str">
        <f>'3. DL invest.n.pl.AR pr.'!C20</f>
        <v>Darbības izmaksas....</v>
      </c>
      <c r="D20" s="224"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7">
        <f t="shared" si="2"/>
        <v>0</v>
      </c>
    </row>
    <row r="21" spans="1:35" ht="15.75" customHeight="1">
      <c r="A21" s="221"/>
      <c r="B21" s="276" t="s">
        <v>198</v>
      </c>
      <c r="C21" s="250" t="str">
        <f>'3. DL invest.n.pl.AR pr.'!C21</f>
        <v>Darbības izmaksas....</v>
      </c>
      <c r="D21" s="224"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7">
        <f t="shared" si="2"/>
        <v>0</v>
      </c>
    </row>
    <row r="22" spans="1:35" s="235" customFormat="1" ht="15.75" customHeight="1">
      <c r="A22" s="232"/>
      <c r="B22" s="276" t="s">
        <v>199</v>
      </c>
      <c r="C22" s="250" t="str">
        <f>'3. DL invest.n.pl.AR pr.'!C22</f>
        <v>Darbības izmaksas....</v>
      </c>
      <c r="D22" s="224"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7">
        <f t="shared" si="2"/>
        <v>0</v>
      </c>
    </row>
    <row r="23" spans="1:35" s="258" customFormat="1" ht="13.5" customHeight="1" thickBot="1">
      <c r="A23" s="280"/>
      <c r="B23" s="281">
        <v>3</v>
      </c>
      <c r="C23" s="253" t="s">
        <v>200</v>
      </c>
      <c r="D23" s="254" t="s">
        <v>133</v>
      </c>
      <c r="E23" s="282">
        <f>SUM(E9,,E16,)</f>
        <v>-3000</v>
      </c>
      <c r="F23" s="282">
        <f t="shared" ref="F23:AH23" si="4">SUM(F9,,F16,)</f>
        <v>-3000</v>
      </c>
      <c r="G23" s="282">
        <f>SUM(G9,,G16,)</f>
        <v>-3000</v>
      </c>
      <c r="H23" s="282">
        <f t="shared" si="4"/>
        <v>-3000</v>
      </c>
      <c r="I23" s="282">
        <f t="shared" si="4"/>
        <v>-23000</v>
      </c>
      <c r="J23" s="282">
        <f t="shared" si="4"/>
        <v>-3000</v>
      </c>
      <c r="K23" s="282">
        <f t="shared" si="4"/>
        <v>-3000</v>
      </c>
      <c r="L23" s="282">
        <f t="shared" si="4"/>
        <v>-3000</v>
      </c>
      <c r="M23" s="282">
        <f t="shared" si="4"/>
        <v>-3000</v>
      </c>
      <c r="N23" s="282">
        <f t="shared" si="4"/>
        <v>-23000</v>
      </c>
      <c r="O23" s="282">
        <f t="shared" si="4"/>
        <v>-3000</v>
      </c>
      <c r="P23" s="282">
        <f t="shared" si="4"/>
        <v>-3000</v>
      </c>
      <c r="Q23" s="282">
        <f t="shared" si="4"/>
        <v>-3000</v>
      </c>
      <c r="R23" s="282">
        <f t="shared" si="4"/>
        <v>-3000</v>
      </c>
      <c r="S23" s="282">
        <f t="shared" si="4"/>
        <v>-3000</v>
      </c>
      <c r="T23" s="282">
        <f t="shared" si="4"/>
        <v>0</v>
      </c>
      <c r="U23" s="282">
        <f t="shared" si="4"/>
        <v>0</v>
      </c>
      <c r="V23" s="282">
        <f t="shared" si="4"/>
        <v>0</v>
      </c>
      <c r="W23" s="282">
        <f t="shared" si="4"/>
        <v>0</v>
      </c>
      <c r="X23" s="282">
        <f t="shared" si="4"/>
        <v>0</v>
      </c>
      <c r="Y23" s="282">
        <f t="shared" si="4"/>
        <v>0</v>
      </c>
      <c r="Z23" s="282">
        <f t="shared" si="4"/>
        <v>0</v>
      </c>
      <c r="AA23" s="282">
        <f t="shared" si="4"/>
        <v>0</v>
      </c>
      <c r="AB23" s="282">
        <f t="shared" si="4"/>
        <v>0</v>
      </c>
      <c r="AC23" s="282">
        <f t="shared" si="4"/>
        <v>0</v>
      </c>
      <c r="AD23" s="282">
        <f t="shared" si="4"/>
        <v>0</v>
      </c>
      <c r="AE23" s="282">
        <f t="shared" si="4"/>
        <v>0</v>
      </c>
      <c r="AF23" s="282">
        <f t="shared" si="4"/>
        <v>0</v>
      </c>
      <c r="AG23" s="282">
        <f t="shared" si="4"/>
        <v>0</v>
      </c>
      <c r="AH23" s="282">
        <f t="shared" si="4"/>
        <v>0</v>
      </c>
      <c r="AI23" s="283">
        <f>SUM(E23:AH23)</f>
        <v>-85000</v>
      </c>
    </row>
    <row r="25" spans="1:35">
      <c r="A25" s="268"/>
      <c r="B25" s="269"/>
      <c r="C25" s="269"/>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1"/>
    </row>
    <row r="27" spans="1:35">
      <c r="C27" s="261" t="s">
        <v>201</v>
      </c>
    </row>
    <row r="28" spans="1:35">
      <c r="B28" s="284"/>
    </row>
    <row r="29" spans="1:35">
      <c r="B29" s="285"/>
    </row>
    <row r="62" ht="25.5" customHeight="1"/>
  </sheetData>
  <sheetProtection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T16" activePane="bottomRight" state="frozen"/>
      <selection pane="bottomRight" activeCell="T31" sqref="T31"/>
      <selection pane="bottomLeft" activeCell="A9" sqref="A9"/>
      <selection pane="topRight" activeCell="F1" sqref="F1"/>
    </sheetView>
  </sheetViews>
  <sheetFormatPr defaultColWidth="9.140625" defaultRowHeight="12.75"/>
  <cols>
    <col min="1" max="1" width="1.42578125" style="195" customWidth="1"/>
    <col min="2" max="2" width="6.5703125" style="195" customWidth="1"/>
    <col min="3" max="3" width="45.28515625" style="195" customWidth="1"/>
    <col min="4" max="4" width="9.140625" style="195" customWidth="1"/>
    <col min="5" max="5" width="5.42578125" style="195" customWidth="1"/>
    <col min="6" max="36" width="13.85546875" style="195" customWidth="1"/>
    <col min="37" max="37" width="11.28515625" style="195" bestFit="1" customWidth="1"/>
    <col min="38" max="38" width="10" style="195" bestFit="1" customWidth="1"/>
    <col min="39" max="16384" width="9.140625" style="195"/>
  </cols>
  <sheetData>
    <row r="1" spans="1:66" s="1" customFormat="1" ht="27" customHeight="1">
      <c r="A1" s="568" t="s">
        <v>202</v>
      </c>
      <c r="B1" s="568"/>
      <c r="C1" s="568"/>
      <c r="D1" s="568"/>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9" t="s">
        <v>203</v>
      </c>
      <c r="B2" s="569"/>
      <c r="C2" s="569"/>
      <c r="D2" s="569"/>
      <c r="E2" s="569"/>
      <c r="F2" s="569"/>
      <c r="G2" s="569"/>
      <c r="H2" s="569"/>
      <c r="I2" s="569"/>
      <c r="J2" s="569"/>
      <c r="K2" s="569"/>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66">
      <c r="A3" s="191"/>
      <c r="B3" s="192"/>
      <c r="C3" s="192"/>
      <c r="D3" s="192"/>
      <c r="E3" s="193"/>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66">
      <c r="A4" s="196"/>
      <c r="B4" s="197"/>
      <c r="C4" s="198"/>
      <c r="D4" s="198"/>
      <c r="E4" s="199"/>
      <c r="F4" s="200">
        <f>'2. DL invest.n.pl.BEZ pr.'!E4</f>
        <v>1</v>
      </c>
      <c r="G4" s="200">
        <f>'2. DL invest.n.pl.BEZ pr.'!F4</f>
        <v>2</v>
      </c>
      <c r="H4" s="200">
        <f>'2. DL invest.n.pl.BEZ pr.'!G4</f>
        <v>3</v>
      </c>
      <c r="I4" s="200">
        <f>'2. DL invest.n.pl.BEZ pr.'!H4</f>
        <v>4</v>
      </c>
      <c r="J4" s="200">
        <f>'2. DL invest.n.pl.BEZ pr.'!I4</f>
        <v>5</v>
      </c>
      <c r="K4" s="200">
        <f>'2. DL invest.n.pl.BEZ pr.'!J4</f>
        <v>6</v>
      </c>
      <c r="L4" s="200">
        <f>'2. DL invest.n.pl.BEZ pr.'!K4</f>
        <v>7</v>
      </c>
      <c r="M4" s="200">
        <f>'2. DL invest.n.pl.BEZ pr.'!L4</f>
        <v>8</v>
      </c>
      <c r="N4" s="200">
        <f>'2. DL invest.n.pl.BEZ pr.'!M4</f>
        <v>9</v>
      </c>
      <c r="O4" s="200">
        <f>'2. DL invest.n.pl.BEZ pr.'!N4</f>
        <v>10</v>
      </c>
      <c r="P4" s="200">
        <f>'2. DL invest.n.pl.BEZ pr.'!O4</f>
        <v>11</v>
      </c>
      <c r="Q4" s="200">
        <f>'2. DL invest.n.pl.BEZ pr.'!P4</f>
        <v>12</v>
      </c>
      <c r="R4" s="200">
        <f>'2. DL invest.n.pl.BEZ pr.'!Q4</f>
        <v>13</v>
      </c>
      <c r="S4" s="200">
        <f>'2. DL invest.n.pl.BEZ pr.'!R4</f>
        <v>14</v>
      </c>
      <c r="T4" s="200">
        <f>'2. DL invest.n.pl.BEZ pr.'!S4</f>
        <v>15</v>
      </c>
      <c r="U4" s="200">
        <f>'2. DL invest.n.pl.BEZ pr.'!T4</f>
        <v>16</v>
      </c>
      <c r="V4" s="200">
        <f>'2. DL invest.n.pl.BEZ pr.'!U4</f>
        <v>17</v>
      </c>
      <c r="W4" s="200">
        <f>'2. DL invest.n.pl.BEZ pr.'!V4</f>
        <v>18</v>
      </c>
      <c r="X4" s="200">
        <f>'2. DL invest.n.pl.BEZ pr.'!W4</f>
        <v>19</v>
      </c>
      <c r="Y4" s="200">
        <f>'2. DL invest.n.pl.BEZ pr.'!X4</f>
        <v>20</v>
      </c>
      <c r="Z4" s="200">
        <f>'2. DL invest.n.pl.BEZ pr.'!Y4</f>
        <v>21</v>
      </c>
      <c r="AA4" s="200">
        <f>'2. DL invest.n.pl.BEZ pr.'!Z4</f>
        <v>22</v>
      </c>
      <c r="AB4" s="200">
        <f>'2. DL invest.n.pl.BEZ pr.'!AA4</f>
        <v>23</v>
      </c>
      <c r="AC4" s="200">
        <f>'2. DL invest.n.pl.BEZ pr.'!AB4</f>
        <v>24</v>
      </c>
      <c r="AD4" s="200">
        <f>'2. DL invest.n.pl.BEZ pr.'!AC4</f>
        <v>25</v>
      </c>
      <c r="AE4" s="200">
        <f>'2. DL invest.n.pl.BEZ pr.'!AD4</f>
        <v>26</v>
      </c>
      <c r="AF4" s="200">
        <f>'2. DL invest.n.pl.BEZ pr.'!AE4</f>
        <v>27</v>
      </c>
      <c r="AG4" s="200">
        <f>'2. DL invest.n.pl.BEZ pr.'!AF4</f>
        <v>28</v>
      </c>
      <c r="AH4" s="200">
        <f>'2. DL invest.n.pl.BEZ pr.'!AG4</f>
        <v>29</v>
      </c>
      <c r="AI4" s="200">
        <f>'2. DL invest.n.pl.BEZ pr.'!AH4</f>
        <v>30</v>
      </c>
      <c r="AJ4" s="201"/>
    </row>
    <row r="5" spans="1:66">
      <c r="A5" s="202"/>
      <c r="B5" s="203"/>
      <c r="C5" s="203"/>
      <c r="D5" s="203"/>
      <c r="E5" s="204" t="s">
        <v>189</v>
      </c>
      <c r="F5" s="205">
        <f>'2. DL invest.n.pl.BEZ pr.'!E5</f>
        <v>2024</v>
      </c>
      <c r="G5" s="205">
        <f>'2. DL invest.n.pl.BEZ pr.'!F5</f>
        <v>2025</v>
      </c>
      <c r="H5" s="205">
        <f>'2. DL invest.n.pl.BEZ pr.'!G5</f>
        <v>2026</v>
      </c>
      <c r="I5" s="205">
        <f>'2. DL invest.n.pl.BEZ pr.'!H5</f>
        <v>2027</v>
      </c>
      <c r="J5" s="205">
        <f>'2. DL invest.n.pl.BEZ pr.'!I5</f>
        <v>2028</v>
      </c>
      <c r="K5" s="205">
        <f>'2. DL invest.n.pl.BEZ pr.'!J5</f>
        <v>2029</v>
      </c>
      <c r="L5" s="205">
        <f>'2. DL invest.n.pl.BEZ pr.'!K5</f>
        <v>2030</v>
      </c>
      <c r="M5" s="205">
        <f>'2. DL invest.n.pl.BEZ pr.'!L5</f>
        <v>2031</v>
      </c>
      <c r="N5" s="205">
        <f>'2. DL invest.n.pl.BEZ pr.'!M5</f>
        <v>2032</v>
      </c>
      <c r="O5" s="205">
        <f>'2. DL invest.n.pl.BEZ pr.'!N5</f>
        <v>2033</v>
      </c>
      <c r="P5" s="205">
        <f>'2. DL invest.n.pl.BEZ pr.'!O5</f>
        <v>2034</v>
      </c>
      <c r="Q5" s="205">
        <f>'2. DL invest.n.pl.BEZ pr.'!P5</f>
        <v>2035</v>
      </c>
      <c r="R5" s="205">
        <f>'2. DL invest.n.pl.BEZ pr.'!Q5</f>
        <v>2036</v>
      </c>
      <c r="S5" s="205">
        <f>'2. DL invest.n.pl.BEZ pr.'!R5</f>
        <v>2037</v>
      </c>
      <c r="T5" s="205">
        <f>'2. DL invest.n.pl.BEZ pr.'!S5</f>
        <v>2038</v>
      </c>
      <c r="U5" s="205">
        <f>'2. DL invest.n.pl.BEZ pr.'!T5</f>
        <v>2039</v>
      </c>
      <c r="V5" s="205">
        <f>'2. DL invest.n.pl.BEZ pr.'!U5</f>
        <v>2040</v>
      </c>
      <c r="W5" s="205">
        <f>'2. DL invest.n.pl.BEZ pr.'!V5</f>
        <v>2041</v>
      </c>
      <c r="X5" s="205">
        <f>'2. DL invest.n.pl.BEZ pr.'!W5</f>
        <v>2042</v>
      </c>
      <c r="Y5" s="205">
        <f>'2. DL invest.n.pl.BEZ pr.'!X5</f>
        <v>2043</v>
      </c>
      <c r="Z5" s="205">
        <f>'2. DL invest.n.pl.BEZ pr.'!Y5</f>
        <v>2044</v>
      </c>
      <c r="AA5" s="205">
        <f>'2. DL invest.n.pl.BEZ pr.'!Z5</f>
        <v>2045</v>
      </c>
      <c r="AB5" s="205">
        <f>'2. DL invest.n.pl.BEZ pr.'!AA5</f>
        <v>2046</v>
      </c>
      <c r="AC5" s="205">
        <f>'2. DL invest.n.pl.BEZ pr.'!AB5</f>
        <v>2047</v>
      </c>
      <c r="AD5" s="205">
        <f>'2. DL invest.n.pl.BEZ pr.'!AC5</f>
        <v>2048</v>
      </c>
      <c r="AE5" s="205">
        <f>'2. DL invest.n.pl.BEZ pr.'!AD5</f>
        <v>2049</v>
      </c>
      <c r="AF5" s="205">
        <f>'2. DL invest.n.pl.BEZ pr.'!AE5</f>
        <v>2050</v>
      </c>
      <c r="AG5" s="205">
        <f>'2. DL invest.n.pl.BEZ pr.'!AF5</f>
        <v>2051</v>
      </c>
      <c r="AH5" s="205">
        <f>'2. DL invest.n.pl.BEZ pr.'!AG5</f>
        <v>2052</v>
      </c>
      <c r="AI5" s="205">
        <f>'2. DL invest.n.pl.BEZ pr.'!AH5</f>
        <v>2053</v>
      </c>
      <c r="AJ5" s="206" t="s">
        <v>190</v>
      </c>
    </row>
    <row r="6" spans="1:66">
      <c r="A6" s="207"/>
      <c r="B6" s="207"/>
      <c r="C6" s="207"/>
      <c r="D6" s="207"/>
      <c r="E6" s="208"/>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row>
    <row r="7" spans="1:66">
      <c r="A7" s="210"/>
      <c r="B7" s="211" t="s">
        <v>191</v>
      </c>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3"/>
    </row>
    <row r="8" spans="1:66">
      <c r="A8" s="207"/>
      <c r="B8" s="207"/>
      <c r="C8" s="207"/>
      <c r="D8" s="207"/>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4"/>
    </row>
    <row r="9" spans="1:66" ht="13.5" hidden="1" customHeight="1">
      <c r="A9" s="215"/>
      <c r="B9" s="216">
        <v>1</v>
      </c>
      <c r="C9" s="217" t="s">
        <v>204</v>
      </c>
      <c r="D9" s="217"/>
      <c r="E9" s="218" t="s">
        <v>133</v>
      </c>
      <c r="F9" s="219">
        <f>SUM(F10:F15)</f>
        <v>0</v>
      </c>
      <c r="G9" s="219">
        <f t="shared" ref="G9:AI9" si="0">SUM(G10:G15)</f>
        <v>0</v>
      </c>
      <c r="H9" s="219">
        <f t="shared" si="0"/>
        <v>0</v>
      </c>
      <c r="I9" s="219">
        <f>SUM(I10:I15)</f>
        <v>0</v>
      </c>
      <c r="J9" s="219">
        <f t="shared" si="0"/>
        <v>0</v>
      </c>
      <c r="K9" s="219">
        <f>SUM(K10:K15)</f>
        <v>0</v>
      </c>
      <c r="L9" s="219">
        <f t="shared" si="0"/>
        <v>0</v>
      </c>
      <c r="M9" s="219">
        <f t="shared" si="0"/>
        <v>0</v>
      </c>
      <c r="N9" s="219">
        <f t="shared" si="0"/>
        <v>0</v>
      </c>
      <c r="O9" s="219">
        <f t="shared" si="0"/>
        <v>0</v>
      </c>
      <c r="P9" s="219">
        <f t="shared" si="0"/>
        <v>0</v>
      </c>
      <c r="Q9" s="219">
        <f t="shared" si="0"/>
        <v>0</v>
      </c>
      <c r="R9" s="219">
        <f t="shared" si="0"/>
        <v>0</v>
      </c>
      <c r="S9" s="219">
        <f t="shared" si="0"/>
        <v>0</v>
      </c>
      <c r="T9" s="219">
        <f t="shared" si="0"/>
        <v>0</v>
      </c>
      <c r="U9" s="219">
        <f t="shared" si="0"/>
        <v>0</v>
      </c>
      <c r="V9" s="219">
        <f t="shared" si="0"/>
        <v>0</v>
      </c>
      <c r="W9" s="219">
        <f t="shared" si="0"/>
        <v>0</v>
      </c>
      <c r="X9" s="219">
        <f t="shared" si="0"/>
        <v>0</v>
      </c>
      <c r="Y9" s="219">
        <f t="shared" si="0"/>
        <v>0</v>
      </c>
      <c r="Z9" s="219">
        <f t="shared" si="0"/>
        <v>0</v>
      </c>
      <c r="AA9" s="219">
        <f t="shared" si="0"/>
        <v>0</v>
      </c>
      <c r="AB9" s="219">
        <f t="shared" si="0"/>
        <v>0</v>
      </c>
      <c r="AC9" s="219">
        <f t="shared" si="0"/>
        <v>0</v>
      </c>
      <c r="AD9" s="219">
        <f t="shared" si="0"/>
        <v>0</v>
      </c>
      <c r="AE9" s="219">
        <f t="shared" si="0"/>
        <v>0</v>
      </c>
      <c r="AF9" s="219">
        <f t="shared" si="0"/>
        <v>0</v>
      </c>
      <c r="AG9" s="219">
        <f t="shared" si="0"/>
        <v>0</v>
      </c>
      <c r="AH9" s="219">
        <f t="shared" si="0"/>
        <v>0</v>
      </c>
      <c r="AI9" s="219">
        <f t="shared" si="0"/>
        <v>0</v>
      </c>
      <c r="AJ9" s="220">
        <f>SUM(F9:AI9)</f>
        <v>0</v>
      </c>
      <c r="AK9" s="214" t="b">
        <v>0</v>
      </c>
    </row>
    <row r="10" spans="1:66" ht="13.5" hidden="1" customHeight="1">
      <c r="A10" s="221"/>
      <c r="B10" s="222" t="s">
        <v>98</v>
      </c>
      <c r="C10" s="17" t="s">
        <v>205</v>
      </c>
      <c r="D10" s="223"/>
      <c r="E10" s="224"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5">
        <f t="shared" ref="AJ10:AJ22" si="1">SUM(F10:AI10)</f>
        <v>0</v>
      </c>
      <c r="AK10" s="214"/>
    </row>
    <row r="11" spans="1:66" ht="13.5" hidden="1" customHeight="1">
      <c r="A11" s="221"/>
      <c r="B11" s="222" t="s">
        <v>100</v>
      </c>
      <c r="C11" s="17" t="s">
        <v>205</v>
      </c>
      <c r="D11" s="226"/>
      <c r="E11" s="224"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5">
        <f t="shared" si="1"/>
        <v>0</v>
      </c>
      <c r="AK11" s="214"/>
    </row>
    <row r="12" spans="1:66" ht="13.5" hidden="1" customHeight="1">
      <c r="A12" s="221"/>
      <c r="B12" s="222" t="s">
        <v>102</v>
      </c>
      <c r="C12" s="17" t="s">
        <v>205</v>
      </c>
      <c r="D12" s="223"/>
      <c r="E12" s="224"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5">
        <f t="shared" si="1"/>
        <v>0</v>
      </c>
      <c r="AK12" s="214"/>
    </row>
    <row r="13" spans="1:66" ht="13.5" hidden="1" customHeight="1">
      <c r="A13" s="221"/>
      <c r="B13" s="222" t="s">
        <v>104</v>
      </c>
      <c r="C13" s="17" t="s">
        <v>205</v>
      </c>
      <c r="D13" s="223"/>
      <c r="E13" s="224"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5">
        <f t="shared" si="1"/>
        <v>0</v>
      </c>
      <c r="AK13" s="214"/>
    </row>
    <row r="14" spans="1:66" ht="13.5" hidden="1" customHeight="1">
      <c r="A14" s="221"/>
      <c r="B14" s="222" t="s">
        <v>106</v>
      </c>
      <c r="C14" s="17" t="s">
        <v>205</v>
      </c>
      <c r="D14" s="223"/>
      <c r="E14" s="224"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5">
        <f t="shared" si="1"/>
        <v>0</v>
      </c>
      <c r="AK14" s="214"/>
    </row>
    <row r="15" spans="1:66" ht="13.5" hidden="1" customHeight="1">
      <c r="A15" s="221"/>
      <c r="B15" s="222" t="s">
        <v>109</v>
      </c>
      <c r="C15" s="17" t="s">
        <v>205</v>
      </c>
      <c r="D15" s="223"/>
      <c r="E15" s="224"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5">
        <f t="shared" si="1"/>
        <v>0</v>
      </c>
      <c r="AK15" s="214"/>
    </row>
    <row r="16" spans="1:66" ht="13.5" customHeight="1">
      <c r="A16" s="221"/>
      <c r="B16" s="227">
        <v>2</v>
      </c>
      <c r="C16" s="228" t="s">
        <v>206</v>
      </c>
      <c r="D16" s="223"/>
      <c r="E16" s="229" t="s">
        <v>133</v>
      </c>
      <c r="F16" s="230">
        <f>SUM(F17:F22)</f>
        <v>-3000</v>
      </c>
      <c r="G16" s="230">
        <f t="shared" ref="G16:AI16" si="2">SUM(G17:G22)</f>
        <v>-1000</v>
      </c>
      <c r="H16" s="230">
        <f t="shared" si="2"/>
        <v>-1000</v>
      </c>
      <c r="I16" s="230">
        <f t="shared" si="2"/>
        <v>-1000</v>
      </c>
      <c r="J16" s="230">
        <f t="shared" si="2"/>
        <v>-1000</v>
      </c>
      <c r="K16" s="230">
        <f t="shared" si="2"/>
        <v>-1000</v>
      </c>
      <c r="L16" s="230">
        <f t="shared" si="2"/>
        <v>-1000</v>
      </c>
      <c r="M16" s="230">
        <f t="shared" si="2"/>
        <v>-2000</v>
      </c>
      <c r="N16" s="230">
        <f t="shared" si="2"/>
        <v>-2000</v>
      </c>
      <c r="O16" s="230">
        <f t="shared" si="2"/>
        <v>-2000</v>
      </c>
      <c r="P16" s="230">
        <f t="shared" si="2"/>
        <v>-2000</v>
      </c>
      <c r="Q16" s="230">
        <f t="shared" si="2"/>
        <v>-2000</v>
      </c>
      <c r="R16" s="230">
        <f t="shared" si="2"/>
        <v>-2000</v>
      </c>
      <c r="S16" s="230">
        <f t="shared" si="2"/>
        <v>-2000</v>
      </c>
      <c r="T16" s="230">
        <f t="shared" si="2"/>
        <v>-2000</v>
      </c>
      <c r="U16" s="230">
        <f t="shared" si="2"/>
        <v>0</v>
      </c>
      <c r="V16" s="230">
        <f t="shared" si="2"/>
        <v>0</v>
      </c>
      <c r="W16" s="230">
        <f t="shared" si="2"/>
        <v>0</v>
      </c>
      <c r="X16" s="230">
        <f t="shared" si="2"/>
        <v>0</v>
      </c>
      <c r="Y16" s="230">
        <f t="shared" si="2"/>
        <v>0</v>
      </c>
      <c r="Z16" s="230">
        <f t="shared" si="2"/>
        <v>0</v>
      </c>
      <c r="AA16" s="230">
        <f t="shared" si="2"/>
        <v>0</v>
      </c>
      <c r="AB16" s="230">
        <f t="shared" si="2"/>
        <v>0</v>
      </c>
      <c r="AC16" s="230">
        <f t="shared" si="2"/>
        <v>0</v>
      </c>
      <c r="AD16" s="230">
        <f t="shared" si="2"/>
        <v>0</v>
      </c>
      <c r="AE16" s="230">
        <f t="shared" si="2"/>
        <v>0</v>
      </c>
      <c r="AF16" s="230">
        <f t="shared" si="2"/>
        <v>0</v>
      </c>
      <c r="AG16" s="230">
        <f t="shared" si="2"/>
        <v>0</v>
      </c>
      <c r="AH16" s="230">
        <f t="shared" si="2"/>
        <v>0</v>
      </c>
      <c r="AI16" s="230">
        <f t="shared" si="2"/>
        <v>0</v>
      </c>
      <c r="AJ16" s="225">
        <f t="shared" si="1"/>
        <v>-25000</v>
      </c>
      <c r="AK16" s="231"/>
    </row>
    <row r="17" spans="1:38" ht="13.5" customHeight="1">
      <c r="A17" s="221"/>
      <c r="B17" s="222" t="s">
        <v>194</v>
      </c>
      <c r="C17" s="17" t="s">
        <v>207</v>
      </c>
      <c r="D17" s="226"/>
      <c r="E17" s="224" t="s">
        <v>133</v>
      </c>
      <c r="F17" s="25">
        <v>-3000</v>
      </c>
      <c r="G17" s="25">
        <v>-1000</v>
      </c>
      <c r="H17" s="25">
        <v>-1000</v>
      </c>
      <c r="I17" s="25">
        <v>-1000</v>
      </c>
      <c r="J17" s="25">
        <v>-1000</v>
      </c>
      <c r="K17" s="25">
        <v>-1000</v>
      </c>
      <c r="L17" s="25">
        <v>-1000</v>
      </c>
      <c r="M17" s="25">
        <v>-2000</v>
      </c>
      <c r="N17" s="25">
        <v>-2000</v>
      </c>
      <c r="O17" s="25">
        <v>-2000</v>
      </c>
      <c r="P17" s="25">
        <v>-2000</v>
      </c>
      <c r="Q17" s="25">
        <v>-2000</v>
      </c>
      <c r="R17" s="25">
        <v>-2000</v>
      </c>
      <c r="S17" s="25">
        <v>-2000</v>
      </c>
      <c r="T17" s="25">
        <v>-2000</v>
      </c>
      <c r="U17" s="25"/>
      <c r="V17" s="25"/>
      <c r="W17" s="25"/>
      <c r="X17" s="25"/>
      <c r="Y17" s="25"/>
      <c r="Z17" s="25"/>
      <c r="AA17" s="25"/>
      <c r="AB17" s="25"/>
      <c r="AC17" s="25"/>
      <c r="AD17" s="25"/>
      <c r="AE17" s="25"/>
      <c r="AF17" s="25"/>
      <c r="AG17" s="25"/>
      <c r="AH17" s="25"/>
      <c r="AI17" s="25"/>
      <c r="AJ17" s="225">
        <f t="shared" si="1"/>
        <v>-25000</v>
      </c>
      <c r="AK17" s="214"/>
    </row>
    <row r="18" spans="1:38" ht="13.5" customHeight="1">
      <c r="A18" s="221"/>
      <c r="B18" s="222" t="s">
        <v>195</v>
      </c>
      <c r="C18" s="17" t="s">
        <v>208</v>
      </c>
      <c r="D18" s="226"/>
      <c r="E18" s="224"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5">
        <f t="shared" si="1"/>
        <v>0</v>
      </c>
      <c r="AK18" s="214"/>
    </row>
    <row r="19" spans="1:38" ht="15.75" customHeight="1">
      <c r="A19" s="221"/>
      <c r="B19" s="222" t="s">
        <v>196</v>
      </c>
      <c r="C19" s="17" t="s">
        <v>209</v>
      </c>
      <c r="D19" s="226"/>
      <c r="E19" s="224"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5">
        <f t="shared" si="1"/>
        <v>0</v>
      </c>
      <c r="AK19" s="214"/>
    </row>
    <row r="20" spans="1:38" ht="15.75" customHeight="1">
      <c r="A20" s="221"/>
      <c r="B20" s="222" t="s">
        <v>197</v>
      </c>
      <c r="C20" s="17" t="s">
        <v>209</v>
      </c>
      <c r="D20" s="226"/>
      <c r="E20" s="224"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5">
        <f t="shared" si="1"/>
        <v>0</v>
      </c>
      <c r="AK20" s="214"/>
    </row>
    <row r="21" spans="1:38" ht="15.75" customHeight="1">
      <c r="A21" s="221"/>
      <c r="B21" s="222" t="s">
        <v>198</v>
      </c>
      <c r="C21" s="17" t="s">
        <v>209</v>
      </c>
      <c r="D21" s="226"/>
      <c r="E21" s="224"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5">
        <f t="shared" si="1"/>
        <v>0</v>
      </c>
      <c r="AK21" s="214"/>
    </row>
    <row r="22" spans="1:38" s="235" customFormat="1" ht="15.75" customHeight="1">
      <c r="A22" s="232"/>
      <c r="B22" s="222" t="s">
        <v>199</v>
      </c>
      <c r="C22" s="17" t="s">
        <v>209</v>
      </c>
      <c r="D22" s="233"/>
      <c r="E22" s="224"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5">
        <f t="shared" si="1"/>
        <v>0</v>
      </c>
      <c r="AK22" s="234"/>
    </row>
    <row r="23" spans="1:38" ht="13.5" customHeight="1">
      <c r="A23" s="221"/>
      <c r="B23" s="229">
        <v>3</v>
      </c>
      <c r="C23" s="223" t="s">
        <v>210</v>
      </c>
      <c r="D23" s="223"/>
      <c r="E23" s="229" t="s">
        <v>133</v>
      </c>
      <c r="F23" s="230">
        <f>F24+F27</f>
        <v>-1252000</v>
      </c>
      <c r="G23" s="230">
        <f>G24+G27</f>
        <v>-52000</v>
      </c>
      <c r="H23" s="230">
        <f>H24+H27</f>
        <v>0</v>
      </c>
      <c r="I23" s="230">
        <f>I24+I27</f>
        <v>0</v>
      </c>
      <c r="J23" s="230">
        <f t="shared" ref="J23:M23" si="3">J24+J27</f>
        <v>0</v>
      </c>
      <c r="K23" s="230">
        <f t="shared" si="3"/>
        <v>0</v>
      </c>
      <c r="L23" s="230">
        <f t="shared" si="3"/>
        <v>0</v>
      </c>
      <c r="M23" s="230">
        <f t="shared" si="3"/>
        <v>0</v>
      </c>
      <c r="N23" s="230">
        <f t="shared" ref="N23" si="4">N24+N27</f>
        <v>0</v>
      </c>
      <c r="O23" s="236"/>
      <c r="P23" s="236"/>
      <c r="Q23" s="236"/>
      <c r="R23" s="236"/>
      <c r="S23" s="236"/>
      <c r="T23" s="236"/>
      <c r="U23" s="236"/>
      <c r="V23" s="236"/>
      <c r="W23" s="236"/>
      <c r="X23" s="236"/>
      <c r="Y23" s="236"/>
      <c r="Z23" s="236"/>
      <c r="AA23" s="236"/>
      <c r="AB23" s="236"/>
      <c r="AC23" s="236"/>
      <c r="AD23" s="236"/>
      <c r="AE23" s="236"/>
      <c r="AF23" s="236"/>
      <c r="AG23" s="236"/>
      <c r="AH23" s="236"/>
      <c r="AI23" s="236"/>
      <c r="AJ23" s="225">
        <f t="shared" ref="AJ23:AJ29" si="5">SUM(F23:AI23)</f>
        <v>-1304000</v>
      </c>
      <c r="AK23" s="237"/>
      <c r="AL23" s="238"/>
    </row>
    <row r="24" spans="1:38" s="243" customFormat="1" ht="13.5" customHeight="1">
      <c r="A24" s="239"/>
      <c r="B24" s="240" t="s">
        <v>211</v>
      </c>
      <c r="C24" s="223" t="s">
        <v>212</v>
      </c>
      <c r="D24" s="241"/>
      <c r="E24" s="229" t="s">
        <v>133</v>
      </c>
      <c r="F24" s="230">
        <f>SUM(F25:F25)</f>
        <v>-1227000</v>
      </c>
      <c r="G24" s="230">
        <f>SUM(G25:G25)</f>
        <v>-27000</v>
      </c>
      <c r="H24" s="230">
        <f>SUM(H25:H25)</f>
        <v>0</v>
      </c>
      <c r="I24" s="230">
        <f t="shared" ref="I24:N24" si="6">SUM(I25:I25)</f>
        <v>0</v>
      </c>
      <c r="J24" s="230">
        <f t="shared" si="6"/>
        <v>0</v>
      </c>
      <c r="K24" s="230">
        <f t="shared" si="6"/>
        <v>0</v>
      </c>
      <c r="L24" s="230">
        <f t="shared" si="6"/>
        <v>0</v>
      </c>
      <c r="M24" s="230">
        <f t="shared" si="6"/>
        <v>0</v>
      </c>
      <c r="N24" s="230">
        <f t="shared" si="6"/>
        <v>0</v>
      </c>
      <c r="O24" s="236"/>
      <c r="P24" s="236"/>
      <c r="Q24" s="236"/>
      <c r="R24" s="236"/>
      <c r="S24" s="236"/>
      <c r="T24" s="236"/>
      <c r="U24" s="236"/>
      <c r="V24" s="236"/>
      <c r="W24" s="236"/>
      <c r="X24" s="236"/>
      <c r="Y24" s="236"/>
      <c r="Z24" s="236"/>
      <c r="AA24" s="236"/>
      <c r="AB24" s="236"/>
      <c r="AC24" s="236"/>
      <c r="AD24" s="236"/>
      <c r="AE24" s="236"/>
      <c r="AF24" s="236"/>
      <c r="AG24" s="236"/>
      <c r="AH24" s="236"/>
      <c r="AI24" s="236"/>
      <c r="AJ24" s="225">
        <f t="shared" si="5"/>
        <v>-1254000</v>
      </c>
      <c r="AK24" s="242"/>
    </row>
    <row r="25" spans="1:38" ht="13.5" customHeight="1">
      <c r="A25" s="221"/>
      <c r="B25" s="222" t="s">
        <v>213</v>
      </c>
      <c r="C25" s="226" t="s">
        <v>214</v>
      </c>
      <c r="D25" s="226"/>
      <c r="E25" s="244" t="s">
        <v>133</v>
      </c>
      <c r="F25" s="245">
        <f>-SUM('1.1.A. Iesniedzējs:1.3.2. Partneris-kom.-2'!H26,'1.1.A. Iesniedzējs:1.3.2. Partneris-kom.-2'!I26)</f>
        <v>-1227000</v>
      </c>
      <c r="G25" s="245">
        <f>-SUM('1.1.A. Iesniedzējs:1.3.2. Partneris-kom.-2'!J26,'1.1.A. Iesniedzējs:1.3.2. Partneris-kom.-2'!K26)</f>
        <v>-27000</v>
      </c>
      <c r="H25" s="245">
        <f>-SUM('1.1.A. Iesniedzējs:1.3.2. Partneris-kom.-2'!L26,'1.1.A. Iesniedzējs:1.3.2. Partneris-kom.-2'!M26)</f>
        <v>0</v>
      </c>
      <c r="I25" s="245">
        <f>-SUM('1.1.A. Iesniedzējs:1.3.2. Partneris-kom.-2'!N26,'1.1.A. Iesniedzējs:1.3.2. Partneris-kom.-2'!O26)</f>
        <v>0</v>
      </c>
      <c r="J25" s="245">
        <f>-SUM('1.1.A. Iesniedzējs:1.3.2. Partneris-kom.-2'!P26,'1.1.A. Iesniedzējs:1.3.2. Partneris-kom.-2'!Q26)</f>
        <v>0</v>
      </c>
      <c r="K25" s="245">
        <f>-SUM('1.1.A. Iesniedzējs:1.3.2. Partneris-kom.-2'!R26,'1.1.A. Iesniedzējs:1.3.2. Partneris-kom.-2'!S26)</f>
        <v>0</v>
      </c>
      <c r="L25" s="245">
        <f>-SUM('1.1.A. Iesniedzējs:1.3.2. Partneris-kom.-2'!T26,'1.1.A. Iesniedzējs:1.3.2. Partneris-kom.-2'!U26)</f>
        <v>0</v>
      </c>
      <c r="M25" s="245">
        <f>-SUM('1.1.A. Iesniedzējs:1.3.2. Partneris-kom.-2'!V26,'1.1.A. Iesniedzējs:1.3.2. Partneris-kom.-2'!W26)</f>
        <v>0</v>
      </c>
      <c r="N25" s="245">
        <f>-SUM('1.1.A. Iesniedzējs:1.3.2. Partneris-kom.-2'!X26,'1.1.A. Iesniedzējs:1.3.2. Partneris-kom.-2'!Y26)</f>
        <v>0</v>
      </c>
      <c r="O25" s="236"/>
      <c r="P25" s="236"/>
      <c r="Q25" s="236"/>
      <c r="R25" s="236"/>
      <c r="S25" s="236"/>
      <c r="T25" s="236"/>
      <c r="U25" s="236"/>
      <c r="V25" s="236"/>
      <c r="W25" s="236"/>
      <c r="X25" s="236"/>
      <c r="Y25" s="236"/>
      <c r="Z25" s="236"/>
      <c r="AA25" s="236"/>
      <c r="AB25" s="236"/>
      <c r="AC25" s="236"/>
      <c r="AD25" s="236"/>
      <c r="AE25" s="236"/>
      <c r="AF25" s="236"/>
      <c r="AG25" s="236"/>
      <c r="AH25" s="236"/>
      <c r="AI25" s="236"/>
      <c r="AJ25" s="246">
        <f t="shared" si="5"/>
        <v>-1254000</v>
      </c>
      <c r="AK25" s="247"/>
    </row>
    <row r="26" spans="1:38" ht="13.5" customHeight="1">
      <c r="A26" s="221"/>
      <c r="B26" s="222" t="s">
        <v>215</v>
      </c>
      <c r="C26" s="226" t="s">
        <v>216</v>
      </c>
      <c r="D26" s="226"/>
      <c r="E26" s="244" t="s">
        <v>133</v>
      </c>
      <c r="F26" s="245">
        <f>-SUM('1.1.A. Iesniedzējs:1.3.2. Partneris-kom.-2'!H24)+SUM('1.1.A. Iesniedzējs:1.3.2. Partneris-kom.-2'!H23)</f>
        <v>-1227000</v>
      </c>
      <c r="G26" s="245">
        <f>-SUM('1.1.A. Iesniedzējs:1.3.2. Partneris-kom.-2'!J24)+SUM('1.1.A. Iesniedzējs:1.3.2. Partneris-kom.-2'!J23)</f>
        <v>-27000</v>
      </c>
      <c r="H26" s="245">
        <f>-SUM('1.1.A. Iesniedzējs:1.3.2. Partneris-kom.-2'!L24)+SUM('1.1.A. Iesniedzējs:1.3.2. Partneris-kom.-2'!L23)</f>
        <v>0</v>
      </c>
      <c r="I26" s="245">
        <f>-SUM('1.1.A. Iesniedzējs:1.3.2. Partneris-kom.-2'!N24)+SUM('1.1.A. Iesniedzējs:1.3.2. Partneris-kom.-2'!N23)</f>
        <v>0</v>
      </c>
      <c r="J26" s="245">
        <f>-SUM('1.1.A. Iesniedzējs:1.3.2. Partneris-kom.-2'!P24)+SUM('1.1.A. Iesniedzējs:1.3.2. Partneris-kom.-2'!P23)</f>
        <v>0</v>
      </c>
      <c r="K26" s="245">
        <f>-SUM('1.1.A. Iesniedzējs:1.3.2. Partneris-kom.-2'!R24)+SUM('1.1.A. Iesniedzējs:1.3.2. Partneris-kom.-2'!R23)</f>
        <v>0</v>
      </c>
      <c r="L26" s="245">
        <f>-SUM('1.1.A. Iesniedzējs:1.3.2. Partneris-kom.-2'!T24)+SUM('1.1.A. Iesniedzējs:1.3.2. Partneris-kom.-2'!T23)</f>
        <v>0</v>
      </c>
      <c r="M26" s="245">
        <f>-SUM('1.1.A. Iesniedzējs:1.3.2. Partneris-kom.-2'!V24)+SUM('1.1.A. Iesniedzējs:1.3.2. Partneris-kom.-2'!V23)</f>
        <v>0</v>
      </c>
      <c r="N26" s="245">
        <f>-SUM('1.1.A. Iesniedzējs:1.3.2. Partneris-kom.-2'!X24)+SUM('1.1.A. Iesniedzējs:1.3.2. Partneris-kom.-2'!X23)</f>
        <v>0</v>
      </c>
      <c r="O26" s="236"/>
      <c r="P26" s="236"/>
      <c r="Q26" s="236"/>
      <c r="R26" s="236"/>
      <c r="S26" s="236"/>
      <c r="T26" s="236"/>
      <c r="U26" s="236"/>
      <c r="V26" s="236"/>
      <c r="W26" s="236"/>
      <c r="X26" s="236"/>
      <c r="Y26" s="236"/>
      <c r="Z26" s="236"/>
      <c r="AA26" s="236"/>
      <c r="AB26" s="236"/>
      <c r="AC26" s="236"/>
      <c r="AD26" s="236"/>
      <c r="AE26" s="236"/>
      <c r="AF26" s="236"/>
      <c r="AG26" s="236"/>
      <c r="AH26" s="236"/>
      <c r="AI26" s="236"/>
      <c r="AJ26" s="246"/>
      <c r="AK26" s="247"/>
    </row>
    <row r="27" spans="1:38" s="243" customFormat="1" ht="13.5" customHeight="1">
      <c r="A27" s="239"/>
      <c r="B27" s="240" t="s">
        <v>217</v>
      </c>
      <c r="C27" s="223" t="s">
        <v>218</v>
      </c>
      <c r="D27" s="241"/>
      <c r="E27" s="229" t="s">
        <v>133</v>
      </c>
      <c r="F27" s="230">
        <f>F28</f>
        <v>-25000</v>
      </c>
      <c r="G27" s="230">
        <f t="shared" ref="G27:N27" si="7">G28</f>
        <v>-25000</v>
      </c>
      <c r="H27" s="230">
        <f t="shared" si="7"/>
        <v>0</v>
      </c>
      <c r="I27" s="230">
        <f t="shared" si="7"/>
        <v>0</v>
      </c>
      <c r="J27" s="230">
        <f t="shared" si="7"/>
        <v>0</v>
      </c>
      <c r="K27" s="230">
        <f t="shared" si="7"/>
        <v>0</v>
      </c>
      <c r="L27" s="230">
        <f t="shared" si="7"/>
        <v>0</v>
      </c>
      <c r="M27" s="230">
        <f t="shared" si="7"/>
        <v>0</v>
      </c>
      <c r="N27" s="230">
        <f t="shared" si="7"/>
        <v>0</v>
      </c>
      <c r="O27" s="236"/>
      <c r="P27" s="236"/>
      <c r="Q27" s="236"/>
      <c r="R27" s="236"/>
      <c r="S27" s="236"/>
      <c r="T27" s="236"/>
      <c r="U27" s="236"/>
      <c r="V27" s="236"/>
      <c r="W27" s="236"/>
      <c r="X27" s="236"/>
      <c r="Y27" s="236"/>
      <c r="Z27" s="236"/>
      <c r="AA27" s="236"/>
      <c r="AB27" s="236"/>
      <c r="AC27" s="236"/>
      <c r="AD27" s="236"/>
      <c r="AE27" s="236"/>
      <c r="AF27" s="236"/>
      <c r="AG27" s="236"/>
      <c r="AH27" s="236"/>
      <c r="AI27" s="236"/>
      <c r="AJ27" s="225">
        <f t="shared" si="5"/>
        <v>-50000</v>
      </c>
      <c r="AK27" s="242"/>
    </row>
    <row r="28" spans="1:38" ht="13.5" customHeight="1">
      <c r="A28" s="221"/>
      <c r="B28" s="222" t="s">
        <v>219</v>
      </c>
      <c r="C28" s="226" t="s">
        <v>220</v>
      </c>
      <c r="D28" s="226"/>
      <c r="E28" s="244" t="s">
        <v>133</v>
      </c>
      <c r="F28" s="245">
        <f>-SUM('1.1.A. Iesniedzējs:1.3.2. Partneris-kom.-2'!H23,'1.1.A. Iesniedzējs:1.3.2. Partneris-kom.-2'!I23)</f>
        <v>-25000</v>
      </c>
      <c r="G28" s="245">
        <f>-SUM('1.1.A. Iesniedzējs:1.3.2. Partneris-kom.-2'!J23,'1.1.A. Iesniedzējs:1.3.2. Partneris-kom.-2'!K23)</f>
        <v>-25000</v>
      </c>
      <c r="H28" s="245">
        <f>-SUM('1.1.A. Iesniedzējs:1.3.2. Partneris-kom.-2'!L23,'1.1.A. Iesniedzējs:1.3.2. Partneris-kom.-2'!M23)</f>
        <v>0</v>
      </c>
      <c r="I28" s="245">
        <f>-SUM('1.1.A. Iesniedzējs:1.3.2. Partneris-kom.-2'!N23,'1.1.A. Iesniedzējs:1.3.2. Partneris-kom.-2'!O23)</f>
        <v>0</v>
      </c>
      <c r="J28" s="245">
        <f>-SUM('1.1.A. Iesniedzējs:1.3.2. Partneris-kom.-2'!P23,'1.1.A. Iesniedzējs:1.3.2. Partneris-kom.-2'!Q23)</f>
        <v>0</v>
      </c>
      <c r="K28" s="245">
        <f>-SUM('1.1.A. Iesniedzējs:1.3.2. Partneris-kom.-2'!R23,'1.1.A. Iesniedzējs:1.3.2. Partneris-kom.-2'!S23)</f>
        <v>0</v>
      </c>
      <c r="L28" s="245">
        <f>-SUM('1.1.A. Iesniedzējs:1.3.2. Partneris-kom.-2'!T23,'1.1.A. Iesniedzējs:1.3.2. Partneris-kom.-2'!U23)</f>
        <v>0</v>
      </c>
      <c r="M28" s="245">
        <f>-SUM('1.1.A. Iesniedzējs:1.3.2. Partneris-kom.-2'!V23,'1.1.A. Iesniedzējs:1.3.2. Partneris-kom.-2'!W23)</f>
        <v>0</v>
      </c>
      <c r="N28" s="245">
        <f>-SUM('1.1.A. Iesniedzējs:1.3.2. Partneris-kom.-2'!X23,'1.1.A. Iesniedzējs:1.3.2. Partneris-kom.-2'!Y23)</f>
        <v>0</v>
      </c>
      <c r="O28" s="236"/>
      <c r="P28" s="236"/>
      <c r="Q28" s="236"/>
      <c r="R28" s="236"/>
      <c r="S28" s="236"/>
      <c r="T28" s="236"/>
      <c r="U28" s="236"/>
      <c r="V28" s="236"/>
      <c r="W28" s="236"/>
      <c r="X28" s="236"/>
      <c r="Y28" s="236"/>
      <c r="Z28" s="236"/>
      <c r="AA28" s="236"/>
      <c r="AB28" s="236"/>
      <c r="AC28" s="236"/>
      <c r="AD28" s="236"/>
      <c r="AE28" s="236"/>
      <c r="AF28" s="236"/>
      <c r="AG28" s="236"/>
      <c r="AH28" s="236"/>
      <c r="AI28" s="236"/>
      <c r="AJ28" s="246">
        <f t="shared" si="5"/>
        <v>-50000</v>
      </c>
      <c r="AK28" s="247"/>
    </row>
    <row r="29" spans="1:38" ht="13.5" customHeight="1">
      <c r="A29" s="221"/>
      <c r="B29" s="248">
        <v>4</v>
      </c>
      <c r="C29" s="223" t="s">
        <v>221</v>
      </c>
      <c r="D29" s="223"/>
      <c r="E29" s="229" t="s">
        <v>133</v>
      </c>
      <c r="F29" s="236"/>
      <c r="G29" s="230">
        <f t="shared" ref="G29:I29" si="8">G30</f>
        <v>0</v>
      </c>
      <c r="H29" s="230">
        <f t="shared" si="8"/>
        <v>0</v>
      </c>
      <c r="I29" s="230">
        <f t="shared" si="8"/>
        <v>0</v>
      </c>
      <c r="J29" s="230">
        <f>J30</f>
        <v>0</v>
      </c>
      <c r="K29" s="230">
        <f t="shared" ref="K29:AA29" si="9">K30</f>
        <v>0</v>
      </c>
      <c r="L29" s="230">
        <f t="shared" si="9"/>
        <v>0</v>
      </c>
      <c r="M29" s="230">
        <f t="shared" si="9"/>
        <v>0</v>
      </c>
      <c r="N29" s="230">
        <f t="shared" si="9"/>
        <v>0</v>
      </c>
      <c r="O29" s="230">
        <f t="shared" si="9"/>
        <v>0</v>
      </c>
      <c r="P29" s="230">
        <f t="shared" si="9"/>
        <v>0</v>
      </c>
      <c r="Q29" s="230">
        <f t="shared" si="9"/>
        <v>0</v>
      </c>
      <c r="R29" s="230">
        <f t="shared" si="9"/>
        <v>0</v>
      </c>
      <c r="S29" s="230">
        <f t="shared" si="9"/>
        <v>0</v>
      </c>
      <c r="T29" s="230">
        <f t="shared" si="9"/>
        <v>80000</v>
      </c>
      <c r="U29" s="230">
        <f t="shared" si="9"/>
        <v>0</v>
      </c>
      <c r="V29" s="230">
        <f t="shared" si="9"/>
        <v>0</v>
      </c>
      <c r="W29" s="230">
        <f t="shared" si="9"/>
        <v>0</v>
      </c>
      <c r="X29" s="230">
        <f t="shared" si="9"/>
        <v>0</v>
      </c>
      <c r="Y29" s="230">
        <f t="shared" si="9"/>
        <v>0</v>
      </c>
      <c r="Z29" s="230">
        <f t="shared" si="9"/>
        <v>0</v>
      </c>
      <c r="AA29" s="230">
        <f t="shared" si="9"/>
        <v>0</v>
      </c>
      <c r="AB29" s="230">
        <f>AB30</f>
        <v>0</v>
      </c>
      <c r="AC29" s="230">
        <f t="shared" ref="AC29:AI29" si="10">AC30</f>
        <v>0</v>
      </c>
      <c r="AD29" s="230">
        <f t="shared" si="10"/>
        <v>0</v>
      </c>
      <c r="AE29" s="230">
        <f t="shared" si="10"/>
        <v>0</v>
      </c>
      <c r="AF29" s="230">
        <f t="shared" si="10"/>
        <v>0</v>
      </c>
      <c r="AG29" s="230">
        <f t="shared" si="10"/>
        <v>0</v>
      </c>
      <c r="AH29" s="230">
        <f t="shared" si="10"/>
        <v>0</v>
      </c>
      <c r="AI29" s="230">
        <f t="shared" si="10"/>
        <v>0</v>
      </c>
      <c r="AJ29" s="225">
        <f t="shared" si="5"/>
        <v>80000</v>
      </c>
      <c r="AK29" s="247"/>
    </row>
    <row r="30" spans="1:38" ht="13.5" customHeight="1">
      <c r="A30" s="221"/>
      <c r="B30" s="249" t="s">
        <v>222</v>
      </c>
      <c r="C30" s="250" t="s">
        <v>223</v>
      </c>
      <c r="D30" s="223"/>
      <c r="E30" s="224" t="s">
        <v>133</v>
      </c>
      <c r="F30" s="236"/>
      <c r="G30" s="24"/>
      <c r="H30" s="24"/>
      <c r="I30" s="24"/>
      <c r="J30" s="24"/>
      <c r="K30" s="24"/>
      <c r="L30" s="24"/>
      <c r="M30" s="24"/>
      <c r="N30" s="24"/>
      <c r="O30" s="24"/>
      <c r="P30" s="24"/>
      <c r="Q30" s="24"/>
      <c r="R30" s="24"/>
      <c r="S30" s="24"/>
      <c r="T30" s="24">
        <f>Pieņēmumi!D17</f>
        <v>80000</v>
      </c>
      <c r="U30" s="24"/>
      <c r="V30" s="24"/>
      <c r="W30" s="24"/>
      <c r="X30" s="24"/>
      <c r="Y30" s="24"/>
      <c r="Z30" s="24"/>
      <c r="AA30" s="24"/>
      <c r="AB30" s="24"/>
      <c r="AC30" s="24"/>
      <c r="AD30" s="24"/>
      <c r="AE30" s="24"/>
      <c r="AF30" s="24"/>
      <c r="AG30" s="24"/>
      <c r="AH30" s="24"/>
      <c r="AI30" s="24"/>
      <c r="AJ30" s="225">
        <f>SUM(F30:AH30)</f>
        <v>80000</v>
      </c>
      <c r="AK30" s="247"/>
    </row>
    <row r="31" spans="1:38" s="258" customFormat="1" ht="13.5" customHeight="1" thickBot="1">
      <c r="A31" s="251"/>
      <c r="B31" s="252">
        <v>5</v>
      </c>
      <c r="C31" s="253" t="s">
        <v>200</v>
      </c>
      <c r="D31" s="253"/>
      <c r="E31" s="254" t="s">
        <v>133</v>
      </c>
      <c r="F31" s="255">
        <f t="shared" ref="F31:AI31" si="11">SUM(F9,,F16,F23,F29)</f>
        <v>-1255000</v>
      </c>
      <c r="G31" s="255">
        <f>SUM(G9,,G16,G23,G29)</f>
        <v>-53000</v>
      </c>
      <c r="H31" s="255">
        <f t="shared" si="11"/>
        <v>-1000</v>
      </c>
      <c r="I31" s="255">
        <f t="shared" si="11"/>
        <v>-1000</v>
      </c>
      <c r="J31" s="255">
        <f t="shared" si="11"/>
        <v>-1000</v>
      </c>
      <c r="K31" s="255">
        <f t="shared" si="11"/>
        <v>-1000</v>
      </c>
      <c r="L31" s="255">
        <f t="shared" si="11"/>
        <v>-1000</v>
      </c>
      <c r="M31" s="255">
        <f t="shared" si="11"/>
        <v>-2000</v>
      </c>
      <c r="N31" s="255">
        <f t="shared" si="11"/>
        <v>-2000</v>
      </c>
      <c r="O31" s="255">
        <f t="shared" si="11"/>
        <v>-2000</v>
      </c>
      <c r="P31" s="255">
        <f t="shared" si="11"/>
        <v>-2000</v>
      </c>
      <c r="Q31" s="255">
        <f t="shared" si="11"/>
        <v>-2000</v>
      </c>
      <c r="R31" s="255">
        <f t="shared" si="11"/>
        <v>-2000</v>
      </c>
      <c r="S31" s="255">
        <f t="shared" si="11"/>
        <v>-2000</v>
      </c>
      <c r="T31" s="255">
        <f t="shared" si="11"/>
        <v>78000</v>
      </c>
      <c r="U31" s="255">
        <f t="shared" si="11"/>
        <v>0</v>
      </c>
      <c r="V31" s="255">
        <f t="shared" si="11"/>
        <v>0</v>
      </c>
      <c r="W31" s="255">
        <f t="shared" si="11"/>
        <v>0</v>
      </c>
      <c r="X31" s="255">
        <f t="shared" si="11"/>
        <v>0</v>
      </c>
      <c r="Y31" s="255">
        <f t="shared" si="11"/>
        <v>0</v>
      </c>
      <c r="Z31" s="255">
        <f t="shared" si="11"/>
        <v>0</v>
      </c>
      <c r="AA31" s="255">
        <f t="shared" si="11"/>
        <v>0</v>
      </c>
      <c r="AB31" s="255">
        <f t="shared" si="11"/>
        <v>0</v>
      </c>
      <c r="AC31" s="255">
        <f t="shared" si="11"/>
        <v>0</v>
      </c>
      <c r="AD31" s="255">
        <f t="shared" si="11"/>
        <v>0</v>
      </c>
      <c r="AE31" s="255">
        <f t="shared" si="11"/>
        <v>0</v>
      </c>
      <c r="AF31" s="255">
        <f t="shared" si="11"/>
        <v>0</v>
      </c>
      <c r="AG31" s="255">
        <f t="shared" si="11"/>
        <v>0</v>
      </c>
      <c r="AH31" s="255">
        <f t="shared" si="11"/>
        <v>0</v>
      </c>
      <c r="AI31" s="255">
        <f t="shared" si="11"/>
        <v>0</v>
      </c>
      <c r="AJ31" s="256">
        <f>SUM(F31:AI31)</f>
        <v>-1249000</v>
      </c>
      <c r="AK31" s="257"/>
    </row>
    <row r="32" spans="1:38">
      <c r="AK32" s="214"/>
    </row>
    <row r="33" spans="1:36">
      <c r="A33" s="211"/>
      <c r="B33" s="211"/>
      <c r="C33" s="211"/>
      <c r="D33" s="211"/>
      <c r="E33" s="211"/>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3"/>
    </row>
    <row r="34" spans="1:36">
      <c r="A34" s="3"/>
      <c r="B34" s="3"/>
      <c r="C34" s="3"/>
      <c r="D34" s="259"/>
      <c r="E34" s="3"/>
      <c r="F34" s="26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1" t="s">
        <v>201</v>
      </c>
      <c r="D35" s="259"/>
      <c r="E35" s="3"/>
      <c r="F35" s="26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H19" sqref="H19"/>
      <selection pane="bottomLeft" activeCell="A7" sqref="A7"/>
      <selection pane="topRight" activeCell="E1" sqref="E1"/>
    </sheetView>
  </sheetViews>
  <sheetFormatPr defaultColWidth="9.140625" defaultRowHeight="12.75"/>
  <cols>
    <col min="1" max="1" width="2.28515625" style="195" customWidth="1"/>
    <col min="2" max="2" width="4.140625" style="195" customWidth="1"/>
    <col min="3" max="3" width="65.140625" style="195" customWidth="1"/>
    <col min="4" max="4" width="8.28515625" style="195" customWidth="1"/>
    <col min="5" max="35" width="14" style="195" customWidth="1"/>
    <col min="36" max="36" width="9.140625" style="195" customWidth="1"/>
    <col min="37" max="16384" width="9.140625" style="195"/>
  </cols>
  <sheetData>
    <row r="1" spans="1:65" s="1" customFormat="1" ht="26.25">
      <c r="A1" s="568" t="s">
        <v>224</v>
      </c>
      <c r="B1" s="568"/>
      <c r="C1" s="568"/>
      <c r="D1" s="189"/>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6" customFormat="1" ht="21">
      <c r="A2" s="286"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7"/>
      <c r="B3" s="288"/>
      <c r="C3" s="192"/>
      <c r="D3" s="289"/>
      <c r="E3" s="290">
        <f>'3. DL invest.n.pl.AR pr.'!F4</f>
        <v>1</v>
      </c>
      <c r="F3" s="290">
        <f>'3. DL invest.n.pl.AR pr.'!G4</f>
        <v>2</v>
      </c>
      <c r="G3" s="290">
        <f>'3. DL invest.n.pl.AR pr.'!H4</f>
        <v>3</v>
      </c>
      <c r="H3" s="290">
        <f>'3. DL invest.n.pl.AR pr.'!I4</f>
        <v>4</v>
      </c>
      <c r="I3" s="290">
        <f>'3. DL invest.n.pl.AR pr.'!J4</f>
        <v>5</v>
      </c>
      <c r="J3" s="290">
        <f>'3. DL invest.n.pl.AR pr.'!K4</f>
        <v>6</v>
      </c>
      <c r="K3" s="290">
        <f>'3. DL invest.n.pl.AR pr.'!L4</f>
        <v>7</v>
      </c>
      <c r="L3" s="290">
        <f>'3. DL invest.n.pl.AR pr.'!M4</f>
        <v>8</v>
      </c>
      <c r="M3" s="290">
        <f>'3. DL invest.n.pl.AR pr.'!N4</f>
        <v>9</v>
      </c>
      <c r="N3" s="290">
        <f>'3. DL invest.n.pl.AR pr.'!O4</f>
        <v>10</v>
      </c>
      <c r="O3" s="290">
        <f>'3. DL invest.n.pl.AR pr.'!P4</f>
        <v>11</v>
      </c>
      <c r="P3" s="290">
        <f>'3. DL invest.n.pl.AR pr.'!Q4</f>
        <v>12</v>
      </c>
      <c r="Q3" s="290">
        <f>'3. DL invest.n.pl.AR pr.'!R4</f>
        <v>13</v>
      </c>
      <c r="R3" s="290">
        <f>'3. DL invest.n.pl.AR pr.'!S4</f>
        <v>14</v>
      </c>
      <c r="S3" s="290">
        <f>'3. DL invest.n.pl.AR pr.'!T4</f>
        <v>15</v>
      </c>
      <c r="T3" s="290">
        <f>'3. DL invest.n.pl.AR pr.'!U4</f>
        <v>16</v>
      </c>
      <c r="U3" s="290">
        <f>'3. DL invest.n.pl.AR pr.'!V4</f>
        <v>17</v>
      </c>
      <c r="V3" s="290">
        <f>'3. DL invest.n.pl.AR pr.'!W4</f>
        <v>18</v>
      </c>
      <c r="W3" s="290">
        <f>'3. DL invest.n.pl.AR pr.'!X4</f>
        <v>19</v>
      </c>
      <c r="X3" s="290">
        <f>'3. DL invest.n.pl.AR pr.'!Y4</f>
        <v>20</v>
      </c>
      <c r="Y3" s="290">
        <f>'3. DL invest.n.pl.AR pr.'!Z4</f>
        <v>21</v>
      </c>
      <c r="Z3" s="290">
        <f>'3. DL invest.n.pl.AR pr.'!AA4</f>
        <v>22</v>
      </c>
      <c r="AA3" s="290">
        <f>'3. DL invest.n.pl.AR pr.'!AB4</f>
        <v>23</v>
      </c>
      <c r="AB3" s="290">
        <f>'3. DL invest.n.pl.AR pr.'!AC4</f>
        <v>24</v>
      </c>
      <c r="AC3" s="290">
        <f>'3. DL invest.n.pl.AR pr.'!AD4</f>
        <v>25</v>
      </c>
      <c r="AD3" s="290">
        <f>'3. DL invest.n.pl.AR pr.'!AE4</f>
        <v>26</v>
      </c>
      <c r="AE3" s="290">
        <f>'3. DL invest.n.pl.AR pr.'!AF4</f>
        <v>27</v>
      </c>
      <c r="AF3" s="290">
        <f>'3. DL invest.n.pl.AR pr.'!AG4</f>
        <v>28</v>
      </c>
      <c r="AG3" s="290">
        <f>'3. DL invest.n.pl.AR pr.'!AH4</f>
        <v>29</v>
      </c>
      <c r="AH3" s="290">
        <f>'3. DL invest.n.pl.AR pr.'!AI4</f>
        <v>30</v>
      </c>
      <c r="AI3" s="194"/>
    </row>
    <row r="4" spans="1:65">
      <c r="A4" s="265"/>
      <c r="B4" s="203"/>
      <c r="C4" s="203"/>
      <c r="D4" s="204" t="s">
        <v>189</v>
      </c>
      <c r="E4" s="291">
        <f>'3. DL invest.n.pl.AR pr.'!F5</f>
        <v>2024</v>
      </c>
      <c r="F4" s="291">
        <f>'3. DL invest.n.pl.AR pr.'!G5</f>
        <v>2025</v>
      </c>
      <c r="G4" s="291">
        <f>'3. DL invest.n.pl.AR pr.'!H5</f>
        <v>2026</v>
      </c>
      <c r="H4" s="291">
        <f>'3. DL invest.n.pl.AR pr.'!I5</f>
        <v>2027</v>
      </c>
      <c r="I4" s="291">
        <f>'3. DL invest.n.pl.AR pr.'!J5</f>
        <v>2028</v>
      </c>
      <c r="J4" s="291">
        <f>'3. DL invest.n.pl.AR pr.'!K5</f>
        <v>2029</v>
      </c>
      <c r="K4" s="291">
        <f>'3. DL invest.n.pl.AR pr.'!L5</f>
        <v>2030</v>
      </c>
      <c r="L4" s="291">
        <f>'3. DL invest.n.pl.AR pr.'!M5</f>
        <v>2031</v>
      </c>
      <c r="M4" s="291">
        <f>'3. DL invest.n.pl.AR pr.'!N5</f>
        <v>2032</v>
      </c>
      <c r="N4" s="291">
        <f>'3. DL invest.n.pl.AR pr.'!O5</f>
        <v>2033</v>
      </c>
      <c r="O4" s="291">
        <f>'3. DL invest.n.pl.AR pr.'!P5</f>
        <v>2034</v>
      </c>
      <c r="P4" s="291">
        <f>'3. DL invest.n.pl.AR pr.'!Q5</f>
        <v>2035</v>
      </c>
      <c r="Q4" s="291">
        <f>'3. DL invest.n.pl.AR pr.'!R5</f>
        <v>2036</v>
      </c>
      <c r="R4" s="291">
        <f>'3. DL invest.n.pl.AR pr.'!S5</f>
        <v>2037</v>
      </c>
      <c r="S4" s="291">
        <f>'3. DL invest.n.pl.AR pr.'!T5</f>
        <v>2038</v>
      </c>
      <c r="T4" s="291">
        <f>'3. DL invest.n.pl.AR pr.'!U5</f>
        <v>2039</v>
      </c>
      <c r="U4" s="291">
        <f>'3. DL invest.n.pl.AR pr.'!V5</f>
        <v>2040</v>
      </c>
      <c r="V4" s="291">
        <f>'3. DL invest.n.pl.AR pr.'!W5</f>
        <v>2041</v>
      </c>
      <c r="W4" s="291">
        <f>'3. DL invest.n.pl.AR pr.'!X5</f>
        <v>2042</v>
      </c>
      <c r="X4" s="291">
        <f>'3. DL invest.n.pl.AR pr.'!Y5</f>
        <v>2043</v>
      </c>
      <c r="Y4" s="291">
        <f>'3. DL invest.n.pl.AR pr.'!Z5</f>
        <v>2044</v>
      </c>
      <c r="Z4" s="291">
        <f>'3. DL invest.n.pl.AR pr.'!AA5</f>
        <v>2045</v>
      </c>
      <c r="AA4" s="291">
        <f>'3. DL invest.n.pl.AR pr.'!AB5</f>
        <v>2046</v>
      </c>
      <c r="AB4" s="291">
        <f>'3. DL invest.n.pl.AR pr.'!AC5</f>
        <v>2047</v>
      </c>
      <c r="AC4" s="291">
        <f>'3. DL invest.n.pl.AR pr.'!AD5</f>
        <v>2048</v>
      </c>
      <c r="AD4" s="291">
        <f>'3. DL invest.n.pl.AR pr.'!AE5</f>
        <v>2049</v>
      </c>
      <c r="AE4" s="291">
        <f>'3. DL invest.n.pl.AR pr.'!AF5</f>
        <v>2050</v>
      </c>
      <c r="AF4" s="291">
        <f>'3. DL invest.n.pl.AR pr.'!AG5</f>
        <v>2051</v>
      </c>
      <c r="AG4" s="291">
        <f>'3. DL invest.n.pl.AR pr.'!AH5</f>
        <v>2052</v>
      </c>
      <c r="AH4" s="291">
        <f>'3. DL invest.n.pl.AR pr.'!AI5</f>
        <v>2053</v>
      </c>
      <c r="AI4" s="206" t="s">
        <v>190</v>
      </c>
    </row>
    <row r="5" spans="1:65">
      <c r="A5" s="226"/>
      <c r="B5" s="226"/>
      <c r="C5" s="226"/>
      <c r="D5" s="266"/>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6" spans="1:65">
      <c r="A6" s="268"/>
      <c r="B6" s="269" t="s">
        <v>191</v>
      </c>
      <c r="C6" s="26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1"/>
    </row>
    <row r="7" spans="1:65">
      <c r="A7" s="197" t="s">
        <v>226</v>
      </c>
      <c r="B7" s="197"/>
      <c r="C7" s="197"/>
      <c r="D7" s="292"/>
      <c r="E7" s="293">
        <f t="shared" ref="E7:AH7" si="0">SUM(E8:E17)</f>
        <v>626000</v>
      </c>
      <c r="F7" s="294">
        <f t="shared" si="0"/>
        <v>26000</v>
      </c>
      <c r="G7" s="294">
        <f t="shared" si="0"/>
        <v>0</v>
      </c>
      <c r="H7" s="294">
        <f t="shared" si="0"/>
        <v>0</v>
      </c>
      <c r="I7" s="294">
        <f t="shared" si="0"/>
        <v>0</v>
      </c>
      <c r="J7" s="294">
        <f t="shared" si="0"/>
        <v>0</v>
      </c>
      <c r="K7" s="294">
        <f t="shared" si="0"/>
        <v>0</v>
      </c>
      <c r="L7" s="294">
        <f t="shared" si="0"/>
        <v>0</v>
      </c>
      <c r="M7" s="294">
        <f t="shared" si="0"/>
        <v>0</v>
      </c>
      <c r="N7" s="294">
        <f t="shared" si="0"/>
        <v>0</v>
      </c>
      <c r="O7" s="294">
        <f t="shared" si="0"/>
        <v>0</v>
      </c>
      <c r="P7" s="294">
        <f t="shared" si="0"/>
        <v>0</v>
      </c>
      <c r="Q7" s="294">
        <f t="shared" si="0"/>
        <v>0</v>
      </c>
      <c r="R7" s="294">
        <f t="shared" si="0"/>
        <v>0</v>
      </c>
      <c r="S7" s="294">
        <f t="shared" si="0"/>
        <v>80000</v>
      </c>
      <c r="T7" s="294">
        <f t="shared" si="0"/>
        <v>0</v>
      </c>
      <c r="U7" s="294">
        <f t="shared" si="0"/>
        <v>0</v>
      </c>
      <c r="V7" s="294">
        <f t="shared" si="0"/>
        <v>0</v>
      </c>
      <c r="W7" s="294">
        <f t="shared" si="0"/>
        <v>0</v>
      </c>
      <c r="X7" s="294">
        <f t="shared" si="0"/>
        <v>0</v>
      </c>
      <c r="Y7" s="294">
        <f t="shared" si="0"/>
        <v>0</v>
      </c>
      <c r="Z7" s="294">
        <f t="shared" si="0"/>
        <v>0</v>
      </c>
      <c r="AA7" s="294">
        <f t="shared" si="0"/>
        <v>0</v>
      </c>
      <c r="AB7" s="294">
        <f t="shared" si="0"/>
        <v>0</v>
      </c>
      <c r="AC7" s="294">
        <f t="shared" si="0"/>
        <v>0</v>
      </c>
      <c r="AD7" s="294">
        <f t="shared" si="0"/>
        <v>0</v>
      </c>
      <c r="AE7" s="294">
        <f t="shared" si="0"/>
        <v>0</v>
      </c>
      <c r="AF7" s="294">
        <f t="shared" si="0"/>
        <v>0</v>
      </c>
      <c r="AG7" s="294">
        <f t="shared" si="0"/>
        <v>0</v>
      </c>
      <c r="AH7" s="295">
        <f t="shared" si="0"/>
        <v>0</v>
      </c>
      <c r="AI7" s="296">
        <f t="shared" ref="AI7:AI22" si="1">SUM(E7:AH7)</f>
        <v>732000</v>
      </c>
      <c r="AL7" s="297"/>
    </row>
    <row r="8" spans="1:65">
      <c r="A8" s="226"/>
      <c r="B8" s="298" t="s">
        <v>98</v>
      </c>
      <c r="C8" s="226" t="s">
        <v>227</v>
      </c>
      <c r="D8" s="299" t="s">
        <v>133</v>
      </c>
      <c r="E8" s="300">
        <f>'3. DL invest.n.pl.AR pr.'!F9</f>
        <v>0</v>
      </c>
      <c r="F8" s="301">
        <f>'3. DL invest.n.pl.AR pr.'!G9</f>
        <v>0</v>
      </c>
      <c r="G8" s="301">
        <f>'3. DL invest.n.pl.AR pr.'!H9</f>
        <v>0</v>
      </c>
      <c r="H8" s="301">
        <f>'3. DL invest.n.pl.AR pr.'!I9</f>
        <v>0</v>
      </c>
      <c r="I8" s="301">
        <f>'3. DL invest.n.pl.AR pr.'!J9</f>
        <v>0</v>
      </c>
      <c r="J8" s="301">
        <f>'3. DL invest.n.pl.AR pr.'!K9</f>
        <v>0</v>
      </c>
      <c r="K8" s="301">
        <f>'3. DL invest.n.pl.AR pr.'!L9</f>
        <v>0</v>
      </c>
      <c r="L8" s="301">
        <f>'3. DL invest.n.pl.AR pr.'!M9</f>
        <v>0</v>
      </c>
      <c r="M8" s="301">
        <f>'3. DL invest.n.pl.AR pr.'!N9</f>
        <v>0</v>
      </c>
      <c r="N8" s="301">
        <f>'3. DL invest.n.pl.AR pr.'!O9</f>
        <v>0</v>
      </c>
      <c r="O8" s="301">
        <f>'3. DL invest.n.pl.AR pr.'!P9</f>
        <v>0</v>
      </c>
      <c r="P8" s="301">
        <f>'3. DL invest.n.pl.AR pr.'!Q9</f>
        <v>0</v>
      </c>
      <c r="Q8" s="301">
        <f>'3. DL invest.n.pl.AR pr.'!R9</f>
        <v>0</v>
      </c>
      <c r="R8" s="301">
        <f>'3. DL invest.n.pl.AR pr.'!S9</f>
        <v>0</v>
      </c>
      <c r="S8" s="301">
        <f>'3. DL invest.n.pl.AR pr.'!T9</f>
        <v>0</v>
      </c>
      <c r="T8" s="301">
        <f>'3. DL invest.n.pl.AR pr.'!U9</f>
        <v>0</v>
      </c>
      <c r="U8" s="301">
        <f>'3. DL invest.n.pl.AR pr.'!V9</f>
        <v>0</v>
      </c>
      <c r="V8" s="301">
        <f>'3. DL invest.n.pl.AR pr.'!W9</f>
        <v>0</v>
      </c>
      <c r="W8" s="301">
        <f>'3. DL invest.n.pl.AR pr.'!X9</f>
        <v>0</v>
      </c>
      <c r="X8" s="301">
        <f>'3. DL invest.n.pl.AR pr.'!Y9</f>
        <v>0</v>
      </c>
      <c r="Y8" s="301">
        <f>'3. DL invest.n.pl.AR pr.'!Z9</f>
        <v>0</v>
      </c>
      <c r="Z8" s="301">
        <f>'3. DL invest.n.pl.AR pr.'!AA9</f>
        <v>0</v>
      </c>
      <c r="AA8" s="301">
        <f>'3. DL invest.n.pl.AR pr.'!AB9</f>
        <v>0</v>
      </c>
      <c r="AB8" s="301">
        <f>'3. DL invest.n.pl.AR pr.'!AC9</f>
        <v>0</v>
      </c>
      <c r="AC8" s="301">
        <f>'3. DL invest.n.pl.AR pr.'!AD9</f>
        <v>0</v>
      </c>
      <c r="AD8" s="301">
        <f>'3. DL invest.n.pl.AR pr.'!AE9</f>
        <v>0</v>
      </c>
      <c r="AE8" s="301">
        <f>'3. DL invest.n.pl.AR pr.'!AF9</f>
        <v>0</v>
      </c>
      <c r="AF8" s="301">
        <f>'3. DL invest.n.pl.AR pr.'!AG9</f>
        <v>0</v>
      </c>
      <c r="AG8" s="301">
        <f>'3. DL invest.n.pl.AR pr.'!AH9</f>
        <v>0</v>
      </c>
      <c r="AH8" s="301">
        <f>'3. DL invest.n.pl.AR pr.'!AI9</f>
        <v>0</v>
      </c>
      <c r="AI8" s="302">
        <f t="shared" si="1"/>
        <v>0</v>
      </c>
      <c r="AL8" s="238"/>
      <c r="AM8" s="238"/>
    </row>
    <row r="9" spans="1:65">
      <c r="A9" s="226"/>
      <c r="B9" s="303" t="s">
        <v>100</v>
      </c>
      <c r="C9" s="226" t="s">
        <v>228</v>
      </c>
      <c r="D9" s="299"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2">
        <f>SUM(E9:AH9)</f>
        <v>0</v>
      </c>
      <c r="AL9" s="238"/>
      <c r="AM9" s="238"/>
    </row>
    <row r="10" spans="1:65">
      <c r="A10" s="226"/>
      <c r="B10" s="298" t="s">
        <v>102</v>
      </c>
      <c r="C10" s="226" t="s">
        <v>229</v>
      </c>
      <c r="D10" s="299"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2">
        <f>SUM(E10:AH10)</f>
        <v>0</v>
      </c>
      <c r="AL10" s="238"/>
      <c r="AM10" s="238"/>
    </row>
    <row r="11" spans="1:65">
      <c r="A11" s="226"/>
      <c r="B11" s="298" t="s">
        <v>104</v>
      </c>
      <c r="C11" s="226" t="s">
        <v>230</v>
      </c>
      <c r="D11" s="299"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2">
        <f>SUM(E11:AH11)</f>
        <v>0</v>
      </c>
      <c r="AM11" s="238"/>
    </row>
    <row r="12" spans="1:65">
      <c r="A12" s="226"/>
      <c r="B12" s="298" t="s">
        <v>106</v>
      </c>
      <c r="C12" s="226" t="s">
        <v>231</v>
      </c>
      <c r="D12" s="299" t="s">
        <v>133</v>
      </c>
      <c r="E12" s="300">
        <f>'9. DL PI Fin.plans'!B5</f>
        <v>532100</v>
      </c>
      <c r="F12" s="301">
        <f>'9. DL PI Fin.plans'!D5</f>
        <v>22100</v>
      </c>
      <c r="G12" s="301">
        <f>'9. DL PI Fin.plans'!F5</f>
        <v>0</v>
      </c>
      <c r="H12" s="301">
        <f>'9. DL PI Fin.plans'!H5</f>
        <v>0</v>
      </c>
      <c r="I12" s="301">
        <f>'9. DL PI Fin.plans'!J5</f>
        <v>0</v>
      </c>
      <c r="J12" s="301">
        <f>'9. DL PI Fin.plans'!L5</f>
        <v>0</v>
      </c>
      <c r="K12" s="301">
        <f>'9. DL PI Fin.plans'!N5</f>
        <v>0</v>
      </c>
      <c r="L12" s="301">
        <f>'9. DL PI Fin.plans'!P5</f>
        <v>0</v>
      </c>
      <c r="M12" s="301">
        <f>'9. DL PI Fin.plans'!R5</f>
        <v>0</v>
      </c>
      <c r="N12" s="304"/>
      <c r="O12" s="304"/>
      <c r="P12" s="304"/>
      <c r="Q12" s="304"/>
      <c r="R12" s="304"/>
      <c r="S12" s="304"/>
      <c r="T12" s="304"/>
      <c r="U12" s="304"/>
      <c r="V12" s="304"/>
      <c r="W12" s="304"/>
      <c r="X12" s="304"/>
      <c r="Y12" s="304"/>
      <c r="Z12" s="304"/>
      <c r="AA12" s="304"/>
      <c r="AB12" s="304"/>
      <c r="AC12" s="304"/>
      <c r="AD12" s="304"/>
      <c r="AE12" s="304"/>
      <c r="AF12" s="304"/>
      <c r="AG12" s="304"/>
      <c r="AH12" s="305"/>
      <c r="AI12" s="302">
        <f t="shared" si="1"/>
        <v>554200</v>
      </c>
      <c r="AM12" s="238"/>
    </row>
    <row r="13" spans="1:65">
      <c r="A13" s="226"/>
      <c r="B13" s="298" t="s">
        <v>109</v>
      </c>
      <c r="C13" s="226" t="s">
        <v>232</v>
      </c>
      <c r="D13" s="299" t="s">
        <v>133</v>
      </c>
      <c r="E13" s="300">
        <f>'9. DL PI Fin.plans'!B6</f>
        <v>93900</v>
      </c>
      <c r="F13" s="301">
        <f>'9. DL PI Fin.plans'!D6</f>
        <v>3900</v>
      </c>
      <c r="G13" s="301">
        <f>'9. DL PI Fin.plans'!F6</f>
        <v>0</v>
      </c>
      <c r="H13" s="301">
        <f>'9. DL PI Fin.plans'!H6</f>
        <v>0</v>
      </c>
      <c r="I13" s="301">
        <f>'9. DL PI Fin.plans'!J6</f>
        <v>0</v>
      </c>
      <c r="J13" s="301">
        <f>'9. DL PI Fin.plans'!L6</f>
        <v>0</v>
      </c>
      <c r="K13" s="301">
        <f>'9. DL PI Fin.plans'!N6</f>
        <v>0</v>
      </c>
      <c r="L13" s="301">
        <f>'9. DL PI Fin.plans'!P6</f>
        <v>0</v>
      </c>
      <c r="M13" s="301">
        <f>'9. DL PI Fin.plans'!R6</f>
        <v>0</v>
      </c>
      <c r="N13" s="301"/>
      <c r="O13" s="301"/>
      <c r="P13" s="301"/>
      <c r="Q13" s="301"/>
      <c r="R13" s="301"/>
      <c r="S13" s="301"/>
      <c r="T13" s="301"/>
      <c r="U13" s="301"/>
      <c r="V13" s="301"/>
      <c r="W13" s="301"/>
      <c r="X13" s="301"/>
      <c r="Y13" s="301"/>
      <c r="Z13" s="301"/>
      <c r="AA13" s="301"/>
      <c r="AB13" s="301"/>
      <c r="AC13" s="301"/>
      <c r="AD13" s="301"/>
      <c r="AE13" s="301"/>
      <c r="AF13" s="301"/>
      <c r="AG13" s="301"/>
      <c r="AH13" s="301"/>
      <c r="AI13" s="302"/>
      <c r="AM13" s="238"/>
    </row>
    <row r="14" spans="1:65" hidden="1">
      <c r="A14" s="226"/>
      <c r="B14" s="298" t="s">
        <v>114</v>
      </c>
      <c r="C14" s="226" t="s">
        <v>233</v>
      </c>
      <c r="D14" s="299" t="s">
        <v>133</v>
      </c>
      <c r="E14" s="300">
        <f>'9. DL PI Fin.plans'!B7</f>
        <v>0</v>
      </c>
      <c r="F14" s="301">
        <f>'9. DL PI Fin.plans'!D7</f>
        <v>0</v>
      </c>
      <c r="G14" s="301">
        <f>'9. DL PI Fin.plans'!F7</f>
        <v>0</v>
      </c>
      <c r="H14" s="301">
        <f>'9. DL PI Fin.plans'!H7</f>
        <v>0</v>
      </c>
      <c r="I14" s="301">
        <f>'9. DL PI Fin.plans'!J7</f>
        <v>0</v>
      </c>
      <c r="J14" s="301">
        <f>'9. DL PI Fin.plans'!L7</f>
        <v>0</v>
      </c>
      <c r="K14" s="301">
        <f>'9. DL PI Fin.plans'!N7</f>
        <v>0</v>
      </c>
      <c r="L14" s="301">
        <f>'9. DL PI Fin.plans'!P7</f>
        <v>0</v>
      </c>
      <c r="M14" s="301">
        <f>'9. DL PI Fin.plans'!R7</f>
        <v>0</v>
      </c>
      <c r="N14" s="301"/>
      <c r="O14" s="301"/>
      <c r="P14" s="301"/>
      <c r="Q14" s="301"/>
      <c r="R14" s="301"/>
      <c r="S14" s="301"/>
      <c r="T14" s="301"/>
      <c r="U14" s="301"/>
      <c r="V14" s="301"/>
      <c r="W14" s="301"/>
      <c r="X14" s="301"/>
      <c r="Y14" s="301"/>
      <c r="Z14" s="301"/>
      <c r="AA14" s="301"/>
      <c r="AB14" s="301"/>
      <c r="AC14" s="301"/>
      <c r="AD14" s="301"/>
      <c r="AE14" s="301"/>
      <c r="AF14" s="301"/>
      <c r="AG14" s="301"/>
      <c r="AH14" s="301"/>
      <c r="AI14" s="302"/>
      <c r="AM14" s="238"/>
    </row>
    <row r="15" spans="1:65">
      <c r="A15" s="226"/>
      <c r="B15" s="298" t="s">
        <v>114</v>
      </c>
      <c r="C15" s="226" t="s">
        <v>234</v>
      </c>
      <c r="D15" s="299" t="s">
        <v>133</v>
      </c>
      <c r="E15" s="494">
        <f>'9. DL PI Fin.plans'!B8</f>
        <v>0</v>
      </c>
      <c r="F15" s="495">
        <f>'9. DL PI Fin.plans'!D8</f>
        <v>0</v>
      </c>
      <c r="G15" s="495">
        <f>'9. DL PI Fin.plans'!F8</f>
        <v>0</v>
      </c>
      <c r="H15" s="495">
        <f>'9. DL PI Fin.plans'!H8</f>
        <v>0</v>
      </c>
      <c r="I15" s="495">
        <f>'9. DL PI Fin.plans'!J8</f>
        <v>0</v>
      </c>
      <c r="J15" s="495">
        <f>'9. DL PI Fin.plans'!L8</f>
        <v>0</v>
      </c>
      <c r="K15" s="495">
        <f>'9. DL PI Fin.plans'!N8</f>
        <v>0</v>
      </c>
      <c r="L15" s="495">
        <f>'9. DL PI Fin.plans'!P8</f>
        <v>0</v>
      </c>
      <c r="M15" s="495">
        <f>'9. DL PI Fin.plans'!R8</f>
        <v>0</v>
      </c>
      <c r="N15" s="301"/>
      <c r="O15" s="301"/>
      <c r="P15" s="301"/>
      <c r="Q15" s="301"/>
      <c r="R15" s="301"/>
      <c r="S15" s="301"/>
      <c r="T15" s="301"/>
      <c r="U15" s="301"/>
      <c r="V15" s="301"/>
      <c r="W15" s="301"/>
      <c r="X15" s="301"/>
      <c r="Y15" s="301"/>
      <c r="Z15" s="301"/>
      <c r="AA15" s="301"/>
      <c r="AB15" s="301"/>
      <c r="AC15" s="301"/>
      <c r="AD15" s="301"/>
      <c r="AE15" s="301"/>
      <c r="AF15" s="301"/>
      <c r="AG15" s="301"/>
      <c r="AH15" s="301"/>
      <c r="AI15" s="302"/>
      <c r="AM15" s="238"/>
    </row>
    <row r="16" spans="1:65" hidden="1">
      <c r="A16" s="226"/>
      <c r="B16" s="298" t="s">
        <v>119</v>
      </c>
      <c r="C16" s="226" t="str">
        <f>'9. DL PI Fin.plans'!A9</f>
        <v xml:space="preserve">Elastības finansējuma apjoms </v>
      </c>
      <c r="D16" s="299" t="s">
        <v>133</v>
      </c>
      <c r="E16" s="494">
        <f>'9. DL PI Fin.plans'!B9</f>
        <v>0</v>
      </c>
      <c r="F16" s="495">
        <f>'9. DL PI Fin.plans'!D9</f>
        <v>0</v>
      </c>
      <c r="G16" s="495">
        <f>'9. DL PI Fin.plans'!F9</f>
        <v>0</v>
      </c>
      <c r="H16" s="495">
        <f>'9. DL PI Fin.plans'!H9</f>
        <v>0</v>
      </c>
      <c r="I16" s="495">
        <f>'9. DL PI Fin.plans'!J9</f>
        <v>0</v>
      </c>
      <c r="J16" s="495">
        <f>'9. DL PI Fin.plans'!L9</f>
        <v>0</v>
      </c>
      <c r="K16" s="495">
        <f>'9. DL PI Fin.plans'!N9</f>
        <v>0</v>
      </c>
      <c r="L16" s="495">
        <f>'9. DL PI Fin.plans'!P9</f>
        <v>0</v>
      </c>
      <c r="M16" s="495">
        <f>'9. DL PI Fin.plans'!R9</f>
        <v>0</v>
      </c>
      <c r="N16" s="301"/>
      <c r="O16" s="301"/>
      <c r="P16" s="301"/>
      <c r="Q16" s="301"/>
      <c r="R16" s="301"/>
      <c r="S16" s="301"/>
      <c r="T16" s="301"/>
      <c r="U16" s="301"/>
      <c r="V16" s="301"/>
      <c r="W16" s="301"/>
      <c r="X16" s="301"/>
      <c r="Y16" s="301"/>
      <c r="Z16" s="301"/>
      <c r="AA16" s="301"/>
      <c r="AB16" s="301"/>
      <c r="AC16" s="301"/>
      <c r="AD16" s="301"/>
      <c r="AE16" s="301"/>
      <c r="AF16" s="301"/>
      <c r="AG16" s="301"/>
      <c r="AH16" s="301"/>
      <c r="AI16" s="302"/>
      <c r="AM16" s="238"/>
    </row>
    <row r="17" spans="1:39">
      <c r="A17" s="226"/>
      <c r="B17" s="298" t="s">
        <v>116</v>
      </c>
      <c r="C17" s="306" t="s">
        <v>223</v>
      </c>
      <c r="D17" s="299" t="s">
        <v>133</v>
      </c>
      <c r="E17" s="300">
        <f>'3. DL invest.n.pl.AR pr.'!F30</f>
        <v>0</v>
      </c>
      <c r="F17" s="301">
        <f>'3. DL invest.n.pl.AR pr.'!G30</f>
        <v>0</v>
      </c>
      <c r="G17" s="301">
        <f>'3. DL invest.n.pl.AR pr.'!H30</f>
        <v>0</v>
      </c>
      <c r="H17" s="301">
        <f>'3. DL invest.n.pl.AR pr.'!I30</f>
        <v>0</v>
      </c>
      <c r="I17" s="301">
        <f>'3. DL invest.n.pl.AR pr.'!J30</f>
        <v>0</v>
      </c>
      <c r="J17" s="301">
        <f>'3. DL invest.n.pl.AR pr.'!K30</f>
        <v>0</v>
      </c>
      <c r="K17" s="301">
        <f>'3. DL invest.n.pl.AR pr.'!L30</f>
        <v>0</v>
      </c>
      <c r="L17" s="301">
        <f>'3. DL invest.n.pl.AR pr.'!M30</f>
        <v>0</v>
      </c>
      <c r="M17" s="301">
        <f>'3. DL invest.n.pl.AR pr.'!N30</f>
        <v>0</v>
      </c>
      <c r="N17" s="301">
        <f>'3. DL invest.n.pl.AR pr.'!O30</f>
        <v>0</v>
      </c>
      <c r="O17" s="301">
        <f>'3. DL invest.n.pl.AR pr.'!P30</f>
        <v>0</v>
      </c>
      <c r="P17" s="301">
        <f>'3. DL invest.n.pl.AR pr.'!Q30</f>
        <v>0</v>
      </c>
      <c r="Q17" s="301">
        <f>'3. DL invest.n.pl.AR pr.'!R30</f>
        <v>0</v>
      </c>
      <c r="R17" s="301">
        <f>'3. DL invest.n.pl.AR pr.'!S30</f>
        <v>0</v>
      </c>
      <c r="S17" s="301">
        <f>'3. DL invest.n.pl.AR pr.'!T30</f>
        <v>80000</v>
      </c>
      <c r="T17" s="301">
        <f>'3. DL invest.n.pl.AR pr.'!U30</f>
        <v>0</v>
      </c>
      <c r="U17" s="301">
        <f>'3. DL invest.n.pl.AR pr.'!V30</f>
        <v>0</v>
      </c>
      <c r="V17" s="301">
        <f>'3. DL invest.n.pl.AR pr.'!W30</f>
        <v>0</v>
      </c>
      <c r="W17" s="301">
        <f>'3. DL invest.n.pl.AR pr.'!X30</f>
        <v>0</v>
      </c>
      <c r="X17" s="301">
        <f>'3. DL invest.n.pl.AR pr.'!Y30</f>
        <v>0</v>
      </c>
      <c r="Y17" s="301">
        <f>'3. DL invest.n.pl.AR pr.'!Z30</f>
        <v>0</v>
      </c>
      <c r="Z17" s="301">
        <f>'3. DL invest.n.pl.AR pr.'!AA30</f>
        <v>0</v>
      </c>
      <c r="AA17" s="301">
        <f>'3. DL invest.n.pl.AR pr.'!AB30</f>
        <v>0</v>
      </c>
      <c r="AB17" s="301">
        <f>'3. DL invest.n.pl.AR pr.'!AC30</f>
        <v>0</v>
      </c>
      <c r="AC17" s="301">
        <f>'3. DL invest.n.pl.AR pr.'!AD30</f>
        <v>0</v>
      </c>
      <c r="AD17" s="301">
        <f>'3. DL invest.n.pl.AR pr.'!AE30</f>
        <v>0</v>
      </c>
      <c r="AE17" s="301">
        <f>'3. DL invest.n.pl.AR pr.'!AF30</f>
        <v>0</v>
      </c>
      <c r="AF17" s="301">
        <f>'3. DL invest.n.pl.AR pr.'!AG30</f>
        <v>0</v>
      </c>
      <c r="AG17" s="301">
        <f>'3. DL invest.n.pl.AR pr.'!AH30</f>
        <v>0</v>
      </c>
      <c r="AH17" s="301">
        <f>'3. DL invest.n.pl.AR pr.'!AI30</f>
        <v>0</v>
      </c>
      <c r="AI17" s="302">
        <f t="shared" si="1"/>
        <v>80000</v>
      </c>
      <c r="AM17" s="307"/>
    </row>
    <row r="18" spans="1:39">
      <c r="A18" s="197" t="s">
        <v>235</v>
      </c>
      <c r="B18" s="197"/>
      <c r="C18" s="197"/>
      <c r="D18" s="292"/>
      <c r="E18" s="293">
        <f>SUM(E19:E23)</f>
        <v>-1255000</v>
      </c>
      <c r="F18" s="294">
        <f t="shared" ref="F18:AH18" si="2">SUM(F19:F23)</f>
        <v>-53000</v>
      </c>
      <c r="G18" s="294">
        <f t="shared" si="2"/>
        <v>-1000</v>
      </c>
      <c r="H18" s="294">
        <f t="shared" si="2"/>
        <v>-1000</v>
      </c>
      <c r="I18" s="294">
        <f t="shared" si="2"/>
        <v>-1000</v>
      </c>
      <c r="J18" s="294">
        <f t="shared" si="2"/>
        <v>-1000</v>
      </c>
      <c r="K18" s="294">
        <f t="shared" si="2"/>
        <v>-1000</v>
      </c>
      <c r="L18" s="294">
        <f t="shared" si="2"/>
        <v>-2000</v>
      </c>
      <c r="M18" s="294">
        <f t="shared" si="2"/>
        <v>-2000</v>
      </c>
      <c r="N18" s="294">
        <f t="shared" si="2"/>
        <v>-2000</v>
      </c>
      <c r="O18" s="294">
        <f t="shared" si="2"/>
        <v>-2000</v>
      </c>
      <c r="P18" s="294">
        <f t="shared" si="2"/>
        <v>-2000</v>
      </c>
      <c r="Q18" s="294">
        <f t="shared" si="2"/>
        <v>-2000</v>
      </c>
      <c r="R18" s="294">
        <f t="shared" si="2"/>
        <v>-2000</v>
      </c>
      <c r="S18" s="294">
        <f t="shared" si="2"/>
        <v>-2000</v>
      </c>
      <c r="T18" s="294">
        <f t="shared" si="2"/>
        <v>0</v>
      </c>
      <c r="U18" s="294">
        <f t="shared" si="2"/>
        <v>0</v>
      </c>
      <c r="V18" s="294">
        <f t="shared" si="2"/>
        <v>0</v>
      </c>
      <c r="W18" s="294">
        <f t="shared" si="2"/>
        <v>0</v>
      </c>
      <c r="X18" s="294">
        <f t="shared" si="2"/>
        <v>0</v>
      </c>
      <c r="Y18" s="294">
        <f t="shared" si="2"/>
        <v>0</v>
      </c>
      <c r="Z18" s="294">
        <f t="shared" si="2"/>
        <v>0</v>
      </c>
      <c r="AA18" s="294">
        <f t="shared" si="2"/>
        <v>0</v>
      </c>
      <c r="AB18" s="294">
        <f t="shared" si="2"/>
        <v>0</v>
      </c>
      <c r="AC18" s="294">
        <f t="shared" si="2"/>
        <v>0</v>
      </c>
      <c r="AD18" s="294">
        <f t="shared" si="2"/>
        <v>0</v>
      </c>
      <c r="AE18" s="294">
        <f t="shared" si="2"/>
        <v>0</v>
      </c>
      <c r="AF18" s="294">
        <f t="shared" si="2"/>
        <v>0</v>
      </c>
      <c r="AG18" s="294">
        <f t="shared" si="2"/>
        <v>0</v>
      </c>
      <c r="AH18" s="295">
        <f t="shared" si="2"/>
        <v>0</v>
      </c>
      <c r="AI18" s="296">
        <f t="shared" si="1"/>
        <v>-1329000</v>
      </c>
    </row>
    <row r="19" spans="1:39">
      <c r="A19" s="226"/>
      <c r="B19" s="298" t="s">
        <v>194</v>
      </c>
      <c r="C19" s="226" t="s">
        <v>236</v>
      </c>
      <c r="D19" s="299" t="s">
        <v>133</v>
      </c>
      <c r="E19" s="300">
        <f>'3. DL invest.n.pl.AR pr.'!F16</f>
        <v>-3000</v>
      </c>
      <c r="F19" s="301">
        <f>'3. DL invest.n.pl.AR pr.'!G16</f>
        <v>-1000</v>
      </c>
      <c r="G19" s="301">
        <f>'3. DL invest.n.pl.AR pr.'!H16</f>
        <v>-1000</v>
      </c>
      <c r="H19" s="301">
        <f>'3. DL invest.n.pl.AR pr.'!I16</f>
        <v>-1000</v>
      </c>
      <c r="I19" s="301">
        <f>'3. DL invest.n.pl.AR pr.'!J16</f>
        <v>-1000</v>
      </c>
      <c r="J19" s="301">
        <f>'3. DL invest.n.pl.AR pr.'!K16</f>
        <v>-1000</v>
      </c>
      <c r="K19" s="301">
        <f>'3. DL invest.n.pl.AR pr.'!L16</f>
        <v>-1000</v>
      </c>
      <c r="L19" s="301">
        <f>'3. DL invest.n.pl.AR pr.'!M16</f>
        <v>-2000</v>
      </c>
      <c r="M19" s="301">
        <f>'3. DL invest.n.pl.AR pr.'!N16</f>
        <v>-2000</v>
      </c>
      <c r="N19" s="301">
        <f>'3. DL invest.n.pl.AR pr.'!O16</f>
        <v>-2000</v>
      </c>
      <c r="O19" s="301">
        <f>'3. DL invest.n.pl.AR pr.'!P16</f>
        <v>-2000</v>
      </c>
      <c r="P19" s="301">
        <f>'3. DL invest.n.pl.AR pr.'!Q16</f>
        <v>-2000</v>
      </c>
      <c r="Q19" s="301">
        <f>'3. DL invest.n.pl.AR pr.'!R16</f>
        <v>-2000</v>
      </c>
      <c r="R19" s="301">
        <f>'3. DL invest.n.pl.AR pr.'!S16</f>
        <v>-2000</v>
      </c>
      <c r="S19" s="301">
        <f>'3. DL invest.n.pl.AR pr.'!T16</f>
        <v>-2000</v>
      </c>
      <c r="T19" s="301">
        <f>'3. DL invest.n.pl.AR pr.'!U16</f>
        <v>0</v>
      </c>
      <c r="U19" s="301">
        <f>'3. DL invest.n.pl.AR pr.'!V16</f>
        <v>0</v>
      </c>
      <c r="V19" s="301">
        <f>'3. DL invest.n.pl.AR pr.'!W16</f>
        <v>0</v>
      </c>
      <c r="W19" s="301">
        <f>'3. DL invest.n.pl.AR pr.'!X16</f>
        <v>0</v>
      </c>
      <c r="X19" s="301">
        <f>'3. DL invest.n.pl.AR pr.'!Y16</f>
        <v>0</v>
      </c>
      <c r="Y19" s="301">
        <f>'3. DL invest.n.pl.AR pr.'!Z16</f>
        <v>0</v>
      </c>
      <c r="Z19" s="301">
        <f>'3. DL invest.n.pl.AR pr.'!AA16</f>
        <v>0</v>
      </c>
      <c r="AA19" s="301">
        <f>'3. DL invest.n.pl.AR pr.'!AB16</f>
        <v>0</v>
      </c>
      <c r="AB19" s="301">
        <f>'3. DL invest.n.pl.AR pr.'!AC16</f>
        <v>0</v>
      </c>
      <c r="AC19" s="301">
        <f>'3. DL invest.n.pl.AR pr.'!AD16</f>
        <v>0</v>
      </c>
      <c r="AD19" s="301">
        <f>'3. DL invest.n.pl.AR pr.'!AE16</f>
        <v>0</v>
      </c>
      <c r="AE19" s="301">
        <f>'3. DL invest.n.pl.AR pr.'!AF16</f>
        <v>0</v>
      </c>
      <c r="AF19" s="301">
        <f>'3. DL invest.n.pl.AR pr.'!AG16</f>
        <v>0</v>
      </c>
      <c r="AG19" s="301">
        <f>'3. DL invest.n.pl.AR pr.'!AH16</f>
        <v>0</v>
      </c>
      <c r="AH19" s="301">
        <f>'3. DL invest.n.pl.AR pr.'!AI16</f>
        <v>0</v>
      </c>
      <c r="AI19" s="302">
        <f t="shared" si="1"/>
        <v>-25000</v>
      </c>
    </row>
    <row r="20" spans="1:39">
      <c r="A20" s="226"/>
      <c r="B20" s="298" t="s">
        <v>195</v>
      </c>
      <c r="C20" s="226" t="s">
        <v>237</v>
      </c>
      <c r="D20" s="299" t="s">
        <v>133</v>
      </c>
      <c r="E20" s="300">
        <f>'3. DL invest.n.pl.AR pr.'!F25+'3. DL invest.n.pl.AR pr.'!F28</f>
        <v>-1252000</v>
      </c>
      <c r="F20" s="301">
        <f>'3. DL invest.n.pl.AR pr.'!G25+'3. DL invest.n.pl.AR pr.'!G28</f>
        <v>-52000</v>
      </c>
      <c r="G20" s="301">
        <f>'3. DL invest.n.pl.AR pr.'!H25+'3. DL invest.n.pl.AR pr.'!H28</f>
        <v>0</v>
      </c>
      <c r="H20" s="301">
        <f>'3. DL invest.n.pl.AR pr.'!I25+'3. DL invest.n.pl.AR pr.'!I28</f>
        <v>0</v>
      </c>
      <c r="I20" s="301">
        <f>'3. DL invest.n.pl.AR pr.'!J25+'3. DL invest.n.pl.AR pr.'!J28</f>
        <v>0</v>
      </c>
      <c r="J20" s="301">
        <f>'3. DL invest.n.pl.AR pr.'!K25+'3. DL invest.n.pl.AR pr.'!K28</f>
        <v>0</v>
      </c>
      <c r="K20" s="301">
        <f>'3. DL invest.n.pl.AR pr.'!L25+'3. DL invest.n.pl.AR pr.'!L28</f>
        <v>0</v>
      </c>
      <c r="L20" s="301">
        <f>'3. DL invest.n.pl.AR pr.'!M25+'3. DL invest.n.pl.AR pr.'!M28</f>
        <v>0</v>
      </c>
      <c r="M20" s="301">
        <f>'3. DL invest.n.pl.AR pr.'!N25+'3. DL invest.n.pl.AR pr.'!N28</f>
        <v>0</v>
      </c>
      <c r="N20" s="301">
        <f>'3. DL invest.n.pl.AR pr.'!O25+'3. DL invest.n.pl.AR pr.'!O28</f>
        <v>0</v>
      </c>
      <c r="O20" s="301">
        <f>'3. DL invest.n.pl.AR pr.'!P25+'3. DL invest.n.pl.AR pr.'!P28</f>
        <v>0</v>
      </c>
      <c r="P20" s="301">
        <f>'3. DL invest.n.pl.AR pr.'!Q25+'3. DL invest.n.pl.AR pr.'!Q28</f>
        <v>0</v>
      </c>
      <c r="Q20" s="301">
        <f>'3. DL invest.n.pl.AR pr.'!R25+'3. DL invest.n.pl.AR pr.'!R28</f>
        <v>0</v>
      </c>
      <c r="R20" s="301">
        <f>'3. DL invest.n.pl.AR pr.'!S25+'3. DL invest.n.pl.AR pr.'!S28</f>
        <v>0</v>
      </c>
      <c r="S20" s="301">
        <f>'3. DL invest.n.pl.AR pr.'!T25+'3. DL invest.n.pl.AR pr.'!T28</f>
        <v>0</v>
      </c>
      <c r="T20" s="301">
        <f>'3. DL invest.n.pl.AR pr.'!U25+'3. DL invest.n.pl.AR pr.'!U28</f>
        <v>0</v>
      </c>
      <c r="U20" s="301">
        <f>'3. DL invest.n.pl.AR pr.'!V25+'3. DL invest.n.pl.AR pr.'!V28</f>
        <v>0</v>
      </c>
      <c r="V20" s="301">
        <f>'3. DL invest.n.pl.AR pr.'!W25+'3. DL invest.n.pl.AR pr.'!W28</f>
        <v>0</v>
      </c>
      <c r="W20" s="301">
        <f>'3. DL invest.n.pl.AR pr.'!X25+'3. DL invest.n.pl.AR pr.'!X28</f>
        <v>0</v>
      </c>
      <c r="X20" s="301">
        <f>'3. DL invest.n.pl.AR pr.'!Y25+'3. DL invest.n.pl.AR pr.'!Y28</f>
        <v>0</v>
      </c>
      <c r="Y20" s="301">
        <f>'3. DL invest.n.pl.AR pr.'!Z25+'3. DL invest.n.pl.AR pr.'!Z28</f>
        <v>0</v>
      </c>
      <c r="Z20" s="301">
        <f>'3. DL invest.n.pl.AR pr.'!AA25+'3. DL invest.n.pl.AR pr.'!AA28</f>
        <v>0</v>
      </c>
      <c r="AA20" s="301">
        <f>'3. DL invest.n.pl.AR pr.'!AB25+'3. DL invest.n.pl.AR pr.'!AB28</f>
        <v>0</v>
      </c>
      <c r="AB20" s="301">
        <f>'3. DL invest.n.pl.AR pr.'!AC25+'3. DL invest.n.pl.AR pr.'!AC28</f>
        <v>0</v>
      </c>
      <c r="AC20" s="301">
        <f>'3. DL invest.n.pl.AR pr.'!AD25+'3. DL invest.n.pl.AR pr.'!AD28</f>
        <v>0</v>
      </c>
      <c r="AD20" s="301">
        <f>'3. DL invest.n.pl.AR pr.'!AE25+'3. DL invest.n.pl.AR pr.'!AE28</f>
        <v>0</v>
      </c>
      <c r="AE20" s="301">
        <f>'3. DL invest.n.pl.AR pr.'!AF25+'3. DL invest.n.pl.AR pr.'!AF28</f>
        <v>0</v>
      </c>
      <c r="AF20" s="301">
        <f>'3. DL invest.n.pl.AR pr.'!AG25+'3. DL invest.n.pl.AR pr.'!AG28</f>
        <v>0</v>
      </c>
      <c r="AG20" s="301">
        <f>'3. DL invest.n.pl.AR pr.'!AH25+'3. DL invest.n.pl.AR pr.'!AH28</f>
        <v>0</v>
      </c>
      <c r="AH20" s="308">
        <f>'3. DL invest.n.pl.AR pr.'!AI25+'3. DL invest.n.pl.AR pr.'!AI28</f>
        <v>0</v>
      </c>
      <c r="AI20" s="302">
        <f t="shared" si="1"/>
        <v>-1304000</v>
      </c>
    </row>
    <row r="21" spans="1:39">
      <c r="A21" s="226"/>
      <c r="B21" s="298" t="s">
        <v>196</v>
      </c>
      <c r="C21" s="226" t="s">
        <v>238</v>
      </c>
      <c r="D21" s="299"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2">
        <f t="shared" si="1"/>
        <v>0</v>
      </c>
    </row>
    <row r="22" spans="1:39">
      <c r="A22" s="226"/>
      <c r="B22" s="298" t="s">
        <v>197</v>
      </c>
      <c r="C22" s="226" t="s">
        <v>239</v>
      </c>
      <c r="D22" s="299"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2">
        <f t="shared" si="1"/>
        <v>0</v>
      </c>
    </row>
    <row r="23" spans="1:39">
      <c r="A23" s="226"/>
      <c r="B23" s="298" t="s">
        <v>198</v>
      </c>
      <c r="C23" s="226" t="s">
        <v>240</v>
      </c>
      <c r="D23" s="299"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2">
        <f>SUM(E23:AH23)</f>
        <v>0</v>
      </c>
    </row>
    <row r="24" spans="1:39">
      <c r="A24" s="309">
        <v>3</v>
      </c>
      <c r="B24" s="278"/>
      <c r="C24" s="223" t="s">
        <v>200</v>
      </c>
      <c r="D24" s="310" t="s">
        <v>133</v>
      </c>
      <c r="E24" s="311">
        <f t="shared" ref="E24:AG24" si="3">SUM(E7,E18)</f>
        <v>-629000</v>
      </c>
      <c r="F24" s="230">
        <f t="shared" si="3"/>
        <v>-27000</v>
      </c>
      <c r="G24" s="230">
        <f t="shared" si="3"/>
        <v>-1000</v>
      </c>
      <c r="H24" s="230">
        <f t="shared" si="3"/>
        <v>-1000</v>
      </c>
      <c r="I24" s="230">
        <f t="shared" si="3"/>
        <v>-1000</v>
      </c>
      <c r="J24" s="230">
        <f t="shared" si="3"/>
        <v>-1000</v>
      </c>
      <c r="K24" s="230">
        <f t="shared" si="3"/>
        <v>-1000</v>
      </c>
      <c r="L24" s="230">
        <f t="shared" si="3"/>
        <v>-2000</v>
      </c>
      <c r="M24" s="230">
        <f t="shared" si="3"/>
        <v>-2000</v>
      </c>
      <c r="N24" s="230">
        <f t="shared" si="3"/>
        <v>-2000</v>
      </c>
      <c r="O24" s="230">
        <f t="shared" si="3"/>
        <v>-2000</v>
      </c>
      <c r="P24" s="230">
        <f t="shared" si="3"/>
        <v>-2000</v>
      </c>
      <c r="Q24" s="230">
        <f t="shared" si="3"/>
        <v>-2000</v>
      </c>
      <c r="R24" s="230">
        <f t="shared" si="3"/>
        <v>-2000</v>
      </c>
      <c r="S24" s="230">
        <f t="shared" si="3"/>
        <v>78000</v>
      </c>
      <c r="T24" s="230">
        <f t="shared" si="3"/>
        <v>0</v>
      </c>
      <c r="U24" s="230">
        <f t="shared" si="3"/>
        <v>0</v>
      </c>
      <c r="V24" s="230">
        <f t="shared" si="3"/>
        <v>0</v>
      </c>
      <c r="W24" s="230">
        <f t="shared" si="3"/>
        <v>0</v>
      </c>
      <c r="X24" s="230">
        <f t="shared" si="3"/>
        <v>0</v>
      </c>
      <c r="Y24" s="230">
        <f t="shared" si="3"/>
        <v>0</v>
      </c>
      <c r="Z24" s="230">
        <f t="shared" si="3"/>
        <v>0</v>
      </c>
      <c r="AA24" s="230">
        <f t="shared" si="3"/>
        <v>0</v>
      </c>
      <c r="AB24" s="230">
        <f t="shared" si="3"/>
        <v>0</v>
      </c>
      <c r="AC24" s="230">
        <f t="shared" si="3"/>
        <v>0</v>
      </c>
      <c r="AD24" s="230">
        <f t="shared" si="3"/>
        <v>0</v>
      </c>
      <c r="AE24" s="230">
        <f t="shared" si="3"/>
        <v>0</v>
      </c>
      <c r="AF24" s="230">
        <f t="shared" si="3"/>
        <v>0</v>
      </c>
      <c r="AG24" s="230">
        <f t="shared" si="3"/>
        <v>0</v>
      </c>
      <c r="AH24" s="312">
        <f>SUM(AH7,AH18)</f>
        <v>0</v>
      </c>
      <c r="AI24" s="313">
        <f>SUM(AI7,AI18)</f>
        <v>-597000</v>
      </c>
    </row>
    <row r="25" spans="1:39">
      <c r="A25" s="309">
        <v>4</v>
      </c>
      <c r="B25" s="278"/>
      <c r="C25" s="223" t="s">
        <v>241</v>
      </c>
      <c r="D25" s="310" t="s">
        <v>133</v>
      </c>
      <c r="E25" s="311">
        <f>E24</f>
        <v>-629000</v>
      </c>
      <c r="F25" s="230">
        <f>E25+F24</f>
        <v>-656000</v>
      </c>
      <c r="G25" s="230">
        <f t="shared" ref="G25:AG25" si="4">F25+G24</f>
        <v>-657000</v>
      </c>
      <c r="H25" s="230">
        <f t="shared" si="4"/>
        <v>-658000</v>
      </c>
      <c r="I25" s="230">
        <f t="shared" si="4"/>
        <v>-659000</v>
      </c>
      <c r="J25" s="230">
        <f t="shared" si="4"/>
        <v>-660000</v>
      </c>
      <c r="K25" s="230">
        <f t="shared" si="4"/>
        <v>-661000</v>
      </c>
      <c r="L25" s="230">
        <f t="shared" si="4"/>
        <v>-663000</v>
      </c>
      <c r="M25" s="230">
        <f t="shared" si="4"/>
        <v>-665000</v>
      </c>
      <c r="N25" s="230">
        <f t="shared" si="4"/>
        <v>-667000</v>
      </c>
      <c r="O25" s="230">
        <f t="shared" si="4"/>
        <v>-669000</v>
      </c>
      <c r="P25" s="230">
        <f t="shared" si="4"/>
        <v>-671000</v>
      </c>
      <c r="Q25" s="230">
        <f t="shared" si="4"/>
        <v>-673000</v>
      </c>
      <c r="R25" s="230">
        <f t="shared" si="4"/>
        <v>-675000</v>
      </c>
      <c r="S25" s="230">
        <f t="shared" si="4"/>
        <v>-597000</v>
      </c>
      <c r="T25" s="230">
        <f t="shared" si="4"/>
        <v>-597000</v>
      </c>
      <c r="U25" s="230">
        <f t="shared" si="4"/>
        <v>-597000</v>
      </c>
      <c r="V25" s="230">
        <f t="shared" si="4"/>
        <v>-597000</v>
      </c>
      <c r="W25" s="230">
        <f t="shared" si="4"/>
        <v>-597000</v>
      </c>
      <c r="X25" s="230">
        <f t="shared" si="4"/>
        <v>-597000</v>
      </c>
      <c r="Y25" s="230">
        <f t="shared" si="4"/>
        <v>-597000</v>
      </c>
      <c r="Z25" s="230">
        <f t="shared" si="4"/>
        <v>-597000</v>
      </c>
      <c r="AA25" s="230">
        <f t="shared" si="4"/>
        <v>-597000</v>
      </c>
      <c r="AB25" s="230">
        <f t="shared" si="4"/>
        <v>-597000</v>
      </c>
      <c r="AC25" s="230">
        <f t="shared" si="4"/>
        <v>-597000</v>
      </c>
      <c r="AD25" s="230">
        <f t="shared" si="4"/>
        <v>-597000</v>
      </c>
      <c r="AE25" s="230">
        <f t="shared" si="4"/>
        <v>-597000</v>
      </c>
      <c r="AF25" s="230">
        <f t="shared" si="4"/>
        <v>-597000</v>
      </c>
      <c r="AG25" s="230">
        <f t="shared" si="4"/>
        <v>-597000</v>
      </c>
      <c r="AH25" s="230">
        <f>AG25+AH24</f>
        <v>-597000</v>
      </c>
      <c r="AI25" s="313">
        <f>AH25+AI24</f>
        <v>-1194000</v>
      </c>
    </row>
    <row r="26" spans="1:39">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c r="D27" s="306"/>
    </row>
    <row r="28" spans="1:39">
      <c r="B28" s="3"/>
      <c r="C28" s="3"/>
      <c r="D28" s="29"/>
      <c r="E28" s="317"/>
      <c r="F28" s="3"/>
      <c r="G28" s="3"/>
      <c r="H28" s="3"/>
      <c r="I28" s="3"/>
      <c r="J28" s="3"/>
    </row>
    <row r="29" spans="1:39">
      <c r="B29" s="3"/>
      <c r="C29" s="5"/>
      <c r="D29" s="29"/>
      <c r="E29" s="3"/>
      <c r="F29" s="3"/>
      <c r="G29" s="3"/>
      <c r="H29" s="3"/>
      <c r="I29" s="3"/>
      <c r="J29" s="3"/>
    </row>
    <row r="30" spans="1:39">
      <c r="B30" s="3"/>
      <c r="C30" s="3"/>
      <c r="D30" s="29"/>
      <c r="E30" s="3"/>
      <c r="F30" s="262"/>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8"/>
      <c r="C34" s="3"/>
      <c r="D34" s="29"/>
      <c r="E34" s="3"/>
      <c r="F34" s="3"/>
      <c r="G34" s="3"/>
      <c r="H34" s="3"/>
      <c r="I34" s="3"/>
      <c r="J34" s="3"/>
    </row>
    <row r="35" spans="2:10">
      <c r="B35" s="319"/>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4" zoomScaleNormal="90" workbookViewId="0">
      <pane xSplit="3" ySplit="7" topLeftCell="D8" activePane="bottomRight" state="frozen"/>
      <selection pane="bottomRight" activeCell="I62" sqref="I62"/>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48" t="s">
        <v>242</v>
      </c>
      <c r="B1" s="548"/>
      <c r="C1" s="548"/>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0" t="s">
        <v>243</v>
      </c>
      <c r="B2" s="570"/>
      <c r="C2" s="570"/>
      <c r="D2" s="570"/>
      <c r="E2" s="570"/>
      <c r="F2" s="570"/>
      <c r="G2" s="570"/>
      <c r="H2" s="570"/>
      <c r="I2" s="570"/>
      <c r="J2" s="57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5">
        <v>0.05</v>
      </c>
    </row>
    <row r="4" spans="1:80" s="3" customFormat="1"/>
    <row r="5" spans="1:80" s="195" customFormat="1" ht="15.75">
      <c r="A5" s="321"/>
      <c r="B5" s="198"/>
      <c r="C5" s="198"/>
      <c r="D5" s="322" t="s">
        <v>245</v>
      </c>
      <c r="E5" s="323"/>
      <c r="F5" s="200">
        <f>'4.DL Finansiālā ilgtspēja'!E3</f>
        <v>1</v>
      </c>
      <c r="G5" s="200">
        <f>'4.DL Finansiālā ilgtspēja'!F3</f>
        <v>2</v>
      </c>
      <c r="H5" s="200">
        <f>'4.DL Finansiālā ilgtspēja'!G3</f>
        <v>3</v>
      </c>
      <c r="I5" s="200">
        <f>'4.DL Finansiālā ilgtspēja'!H3</f>
        <v>4</v>
      </c>
      <c r="J5" s="200">
        <f>'4.DL Finansiālā ilgtspēja'!I3</f>
        <v>5</v>
      </c>
      <c r="K5" s="200">
        <f>'4.DL Finansiālā ilgtspēja'!J3</f>
        <v>6</v>
      </c>
      <c r="L5" s="200">
        <f>'4.DL Finansiālā ilgtspēja'!K3</f>
        <v>7</v>
      </c>
      <c r="M5" s="200">
        <f>'4.DL Finansiālā ilgtspēja'!L3</f>
        <v>8</v>
      </c>
      <c r="N5" s="200">
        <f>'4.DL Finansiālā ilgtspēja'!M3</f>
        <v>9</v>
      </c>
      <c r="O5" s="200">
        <f>'4.DL Finansiālā ilgtspēja'!N3</f>
        <v>10</v>
      </c>
      <c r="P5" s="200">
        <f>'4.DL Finansiālā ilgtspēja'!O3</f>
        <v>11</v>
      </c>
      <c r="Q5" s="200">
        <f>'4.DL Finansiālā ilgtspēja'!P3</f>
        <v>12</v>
      </c>
      <c r="R5" s="200">
        <f>'4.DL Finansiālā ilgtspēja'!Q3</f>
        <v>13</v>
      </c>
      <c r="S5" s="200">
        <f>'4.DL Finansiālā ilgtspēja'!R3</f>
        <v>14</v>
      </c>
      <c r="T5" s="200">
        <f>'4.DL Finansiālā ilgtspēja'!S3</f>
        <v>15</v>
      </c>
      <c r="U5" s="200">
        <f>'4.DL Finansiālā ilgtspēja'!T3</f>
        <v>16</v>
      </c>
      <c r="V5" s="200">
        <f>'4.DL Finansiālā ilgtspēja'!U3</f>
        <v>17</v>
      </c>
      <c r="W5" s="200">
        <f>'4.DL Finansiālā ilgtspēja'!V3</f>
        <v>18</v>
      </c>
      <c r="X5" s="200">
        <f>'4.DL Finansiālā ilgtspēja'!W3</f>
        <v>19</v>
      </c>
      <c r="Y5" s="200">
        <f>'4.DL Finansiālā ilgtspēja'!X3</f>
        <v>20</v>
      </c>
      <c r="Z5" s="200">
        <f>'4.DL Finansiālā ilgtspēja'!Y3</f>
        <v>21</v>
      </c>
      <c r="AA5" s="200">
        <f>'4.DL Finansiālā ilgtspēja'!Z3</f>
        <v>22</v>
      </c>
      <c r="AB5" s="200">
        <f>'4.DL Finansiālā ilgtspēja'!AA3</f>
        <v>23</v>
      </c>
      <c r="AC5" s="200">
        <f>'4.DL Finansiālā ilgtspēja'!AB3</f>
        <v>24</v>
      </c>
      <c r="AD5" s="200">
        <f>'4.DL Finansiālā ilgtspēja'!AC3</f>
        <v>25</v>
      </c>
      <c r="AE5" s="200">
        <f>'4.DL Finansiālā ilgtspēja'!AD3</f>
        <v>26</v>
      </c>
      <c r="AF5" s="200">
        <f>'4.DL Finansiālā ilgtspēja'!AE3</f>
        <v>27</v>
      </c>
      <c r="AG5" s="200">
        <f>'4.DL Finansiālā ilgtspēja'!AF3</f>
        <v>28</v>
      </c>
      <c r="AH5" s="200">
        <f>'4.DL Finansiālā ilgtspēja'!AG3</f>
        <v>29</v>
      </c>
      <c r="AI5" s="200">
        <f>'4.DL Finansiālā ilgtspēja'!AH3</f>
        <v>30</v>
      </c>
      <c r="AJ5" s="3"/>
      <c r="AK5" s="262">
        <f t="shared" ref="AK5:AK8" si="0">F5</f>
        <v>1</v>
      </c>
      <c r="AL5" s="262">
        <f t="shared" ref="AL5:AL6" si="1">G5</f>
        <v>2</v>
      </c>
      <c r="AM5" s="262">
        <f t="shared" ref="AM5:AM6" si="2">H5</f>
        <v>3</v>
      </c>
      <c r="AN5" s="262">
        <f t="shared" ref="AN5:AN6" si="3">I5</f>
        <v>4</v>
      </c>
      <c r="AO5" s="262">
        <f t="shared" ref="AO5:AO6" si="4">J5</f>
        <v>5</v>
      </c>
      <c r="AP5" s="262">
        <f t="shared" ref="AP5:AP6" si="5">K5</f>
        <v>6</v>
      </c>
      <c r="AQ5" s="262">
        <f t="shared" ref="AQ5:AQ6" si="6">L5</f>
        <v>7</v>
      </c>
      <c r="AR5" s="262">
        <f t="shared" ref="AR5:AR6" si="7">M5</f>
        <v>8</v>
      </c>
      <c r="AS5" s="262">
        <f t="shared" ref="AS5:AS6" si="8">N5</f>
        <v>9</v>
      </c>
      <c r="AT5" s="262">
        <f t="shared" ref="AT5:AT6" si="9">O5</f>
        <v>10</v>
      </c>
      <c r="AU5" s="262">
        <f t="shared" ref="AU5:AU6" si="10">P5</f>
        <v>11</v>
      </c>
      <c r="AV5" s="262">
        <f t="shared" ref="AV5:AV6" si="11">Q5</f>
        <v>12</v>
      </c>
      <c r="AW5" s="262">
        <f t="shared" ref="AW5:AW6" si="12">R5</f>
        <v>13</v>
      </c>
      <c r="AX5" s="262">
        <f t="shared" ref="AX5:AX6" si="13">S5</f>
        <v>14</v>
      </c>
      <c r="AY5" s="262">
        <f t="shared" ref="AY5:AY6" si="14">T5</f>
        <v>15</v>
      </c>
      <c r="AZ5" s="262">
        <f t="shared" ref="AZ5:AZ6" si="15">U5</f>
        <v>16</v>
      </c>
      <c r="BA5" s="262">
        <f t="shared" ref="BA5:BA6" si="16">V5</f>
        <v>17</v>
      </c>
      <c r="BB5" s="262">
        <f t="shared" ref="BB5:BB6" si="17">W5</f>
        <v>18</v>
      </c>
      <c r="BC5" s="262">
        <f t="shared" ref="BC5:BC6" si="18">X5</f>
        <v>19</v>
      </c>
      <c r="BD5" s="262">
        <f t="shared" ref="BD5:BD6" si="19">Y5</f>
        <v>20</v>
      </c>
      <c r="BE5" s="262">
        <f t="shared" ref="BE5:BE6" si="20">Z5</f>
        <v>21</v>
      </c>
      <c r="BF5" s="262">
        <f t="shared" ref="BF5:BF6" si="21">AA5</f>
        <v>22</v>
      </c>
      <c r="BG5" s="262">
        <f t="shared" ref="BG5:BG6" si="22">AB5</f>
        <v>23</v>
      </c>
      <c r="BH5" s="262">
        <f t="shared" ref="BH5:BH6" si="23">AC5</f>
        <v>24</v>
      </c>
      <c r="BI5" s="262">
        <f t="shared" ref="BI5:BI6" si="24">AD5</f>
        <v>25</v>
      </c>
      <c r="BJ5" s="262">
        <f t="shared" ref="BJ5:BJ6" si="25">AE5</f>
        <v>26</v>
      </c>
      <c r="BK5" s="262">
        <f t="shared" ref="BK5:BK6" si="26">AF5</f>
        <v>27</v>
      </c>
      <c r="BL5" s="262">
        <f t="shared" ref="BL5:BL6" si="27">AG5</f>
        <v>28</v>
      </c>
      <c r="BM5" s="262">
        <f t="shared" ref="BM5:BM6" si="28">AH5</f>
        <v>29</v>
      </c>
      <c r="BN5" s="262">
        <f t="shared" ref="BN5:BN6" si="29">AI5</f>
        <v>30</v>
      </c>
      <c r="BO5" s="3"/>
      <c r="BP5" s="3"/>
      <c r="BQ5" s="3"/>
      <c r="BR5" s="3"/>
      <c r="BS5" s="3"/>
      <c r="BT5" s="3"/>
      <c r="BU5" s="3"/>
      <c r="BV5" s="3"/>
      <c r="BW5" s="3"/>
      <c r="BX5" s="3"/>
      <c r="BY5" s="3"/>
      <c r="BZ5" s="3"/>
      <c r="CA5" s="3"/>
      <c r="CB5" s="3"/>
    </row>
    <row r="6" spans="1:80" s="195" customFormat="1">
      <c r="A6" s="264"/>
      <c r="B6" s="197"/>
      <c r="C6" s="197" t="s">
        <v>246</v>
      </c>
      <c r="D6" s="322" t="s">
        <v>190</v>
      </c>
      <c r="E6" s="322" t="s">
        <v>190</v>
      </c>
      <c r="F6" s="200">
        <f>'4.DL Finansiālā ilgtspēja'!E4</f>
        <v>2024</v>
      </c>
      <c r="G6" s="200">
        <f>'4.DL Finansiālā ilgtspēja'!F4</f>
        <v>2025</v>
      </c>
      <c r="H6" s="200">
        <f>'4.DL Finansiālā ilgtspēja'!G4</f>
        <v>2026</v>
      </c>
      <c r="I6" s="200">
        <f>'4.DL Finansiālā ilgtspēja'!H4</f>
        <v>2027</v>
      </c>
      <c r="J6" s="200">
        <f>'4.DL Finansiālā ilgtspēja'!I4</f>
        <v>2028</v>
      </c>
      <c r="K6" s="200">
        <f>'4.DL Finansiālā ilgtspēja'!J4</f>
        <v>2029</v>
      </c>
      <c r="L6" s="200">
        <f>'4.DL Finansiālā ilgtspēja'!K4</f>
        <v>2030</v>
      </c>
      <c r="M6" s="200">
        <f>'4.DL Finansiālā ilgtspēja'!L4</f>
        <v>2031</v>
      </c>
      <c r="N6" s="200">
        <f>'4.DL Finansiālā ilgtspēja'!M4</f>
        <v>2032</v>
      </c>
      <c r="O6" s="200">
        <f>'4.DL Finansiālā ilgtspēja'!N4</f>
        <v>2033</v>
      </c>
      <c r="P6" s="200">
        <f>'4.DL Finansiālā ilgtspēja'!O4</f>
        <v>2034</v>
      </c>
      <c r="Q6" s="200">
        <f>'4.DL Finansiālā ilgtspēja'!P4</f>
        <v>2035</v>
      </c>
      <c r="R6" s="200">
        <f>'4.DL Finansiālā ilgtspēja'!Q4</f>
        <v>2036</v>
      </c>
      <c r="S6" s="200">
        <f>'4.DL Finansiālā ilgtspēja'!R4</f>
        <v>2037</v>
      </c>
      <c r="T6" s="200">
        <f>'4.DL Finansiālā ilgtspēja'!S4</f>
        <v>2038</v>
      </c>
      <c r="U6" s="200">
        <f>'4.DL Finansiālā ilgtspēja'!T4</f>
        <v>2039</v>
      </c>
      <c r="V6" s="200">
        <f>'4.DL Finansiālā ilgtspēja'!U4</f>
        <v>2040</v>
      </c>
      <c r="W6" s="200">
        <f>'4.DL Finansiālā ilgtspēja'!V4</f>
        <v>2041</v>
      </c>
      <c r="X6" s="200">
        <f>'4.DL Finansiālā ilgtspēja'!W4</f>
        <v>2042</v>
      </c>
      <c r="Y6" s="200">
        <f>'4.DL Finansiālā ilgtspēja'!X4</f>
        <v>2043</v>
      </c>
      <c r="Z6" s="200">
        <f>'4.DL Finansiālā ilgtspēja'!Y4</f>
        <v>2044</v>
      </c>
      <c r="AA6" s="200">
        <f>'4.DL Finansiālā ilgtspēja'!Z4</f>
        <v>2045</v>
      </c>
      <c r="AB6" s="200">
        <f>'4.DL Finansiālā ilgtspēja'!AA4</f>
        <v>2046</v>
      </c>
      <c r="AC6" s="200">
        <f>'4.DL Finansiālā ilgtspēja'!AB4</f>
        <v>2047</v>
      </c>
      <c r="AD6" s="200">
        <f>'4.DL Finansiālā ilgtspēja'!AC4</f>
        <v>2048</v>
      </c>
      <c r="AE6" s="200">
        <f>'4.DL Finansiālā ilgtspēja'!AD4</f>
        <v>2049</v>
      </c>
      <c r="AF6" s="200">
        <f>'4.DL Finansiālā ilgtspēja'!AE4</f>
        <v>2050</v>
      </c>
      <c r="AG6" s="200">
        <f>'4.DL Finansiālā ilgtspēja'!AF4</f>
        <v>2051</v>
      </c>
      <c r="AH6" s="200">
        <f>'4.DL Finansiālā ilgtspēja'!AG4</f>
        <v>2052</v>
      </c>
      <c r="AI6" s="200">
        <f>'4.DL Finansiālā ilgtspēja'!AH4</f>
        <v>2053</v>
      </c>
      <c r="AJ6" s="3"/>
      <c r="AK6" s="262">
        <f t="shared" si="0"/>
        <v>2024</v>
      </c>
      <c r="AL6" s="262">
        <f t="shared" si="1"/>
        <v>2025</v>
      </c>
      <c r="AM6" s="262">
        <f t="shared" si="2"/>
        <v>2026</v>
      </c>
      <c r="AN6" s="262">
        <f t="shared" si="3"/>
        <v>2027</v>
      </c>
      <c r="AO6" s="262">
        <f t="shared" si="4"/>
        <v>2028</v>
      </c>
      <c r="AP6" s="262">
        <f t="shared" si="5"/>
        <v>2029</v>
      </c>
      <c r="AQ6" s="262">
        <f t="shared" si="6"/>
        <v>2030</v>
      </c>
      <c r="AR6" s="262">
        <f t="shared" si="7"/>
        <v>2031</v>
      </c>
      <c r="AS6" s="262">
        <f t="shared" si="8"/>
        <v>2032</v>
      </c>
      <c r="AT6" s="262">
        <f t="shared" si="9"/>
        <v>2033</v>
      </c>
      <c r="AU6" s="262">
        <f t="shared" si="10"/>
        <v>2034</v>
      </c>
      <c r="AV6" s="262">
        <f t="shared" si="11"/>
        <v>2035</v>
      </c>
      <c r="AW6" s="262">
        <f t="shared" si="12"/>
        <v>2036</v>
      </c>
      <c r="AX6" s="262">
        <f t="shared" si="13"/>
        <v>2037</v>
      </c>
      <c r="AY6" s="262">
        <f t="shared" si="14"/>
        <v>2038</v>
      </c>
      <c r="AZ6" s="262">
        <f t="shared" si="15"/>
        <v>2039</v>
      </c>
      <c r="BA6" s="262">
        <f t="shared" si="16"/>
        <v>2040</v>
      </c>
      <c r="BB6" s="262">
        <f t="shared" si="17"/>
        <v>2041</v>
      </c>
      <c r="BC6" s="262">
        <f t="shared" si="18"/>
        <v>2042</v>
      </c>
      <c r="BD6" s="262">
        <f t="shared" si="19"/>
        <v>2043</v>
      </c>
      <c r="BE6" s="262">
        <f t="shared" si="20"/>
        <v>2044</v>
      </c>
      <c r="BF6" s="262">
        <f t="shared" si="21"/>
        <v>2045</v>
      </c>
      <c r="BG6" s="262">
        <f t="shared" si="22"/>
        <v>2046</v>
      </c>
      <c r="BH6" s="262">
        <f t="shared" si="23"/>
        <v>2047</v>
      </c>
      <c r="BI6" s="262">
        <f t="shared" si="24"/>
        <v>2048</v>
      </c>
      <c r="BJ6" s="262">
        <f t="shared" si="25"/>
        <v>2049</v>
      </c>
      <c r="BK6" s="262">
        <f t="shared" si="26"/>
        <v>2050</v>
      </c>
      <c r="BL6" s="262">
        <f t="shared" si="27"/>
        <v>2051</v>
      </c>
      <c r="BM6" s="262">
        <f t="shared" si="28"/>
        <v>2052</v>
      </c>
      <c r="BN6" s="262">
        <f t="shared" si="29"/>
        <v>2053</v>
      </c>
      <c r="BO6" s="3"/>
      <c r="BP6" s="3"/>
      <c r="BQ6" s="3"/>
      <c r="BR6" s="3"/>
      <c r="BS6" s="3"/>
      <c r="BT6" s="3"/>
      <c r="BU6" s="3"/>
      <c r="BV6" s="3"/>
      <c r="BW6" s="3"/>
      <c r="BX6" s="3"/>
      <c r="BY6" s="3"/>
      <c r="BZ6" s="3"/>
      <c r="CA6" s="3"/>
      <c r="CB6" s="3"/>
    </row>
    <row r="7" spans="1:80">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c r="A8" s="328">
        <v>1</v>
      </c>
      <c r="B8" s="329" t="s">
        <v>247</v>
      </c>
      <c r="C8" s="330" t="s">
        <v>133</v>
      </c>
      <c r="D8" s="331">
        <f t="shared" ref="D8" si="30">AK8+NPV($C$3,AL8:BN8)</f>
        <v>3177627.7808942399</v>
      </c>
      <c r="E8" s="331">
        <f>SUM(F8:AI8)</f>
        <v>4664597.9320872575</v>
      </c>
      <c r="F8" s="332">
        <f>SUM(F9:F17)</f>
        <v>0</v>
      </c>
      <c r="G8" s="332">
        <f>SUM(G9:G17)</f>
        <v>207454.79040000003</v>
      </c>
      <c r="H8" s="332">
        <f t="shared" ref="H8:AI8" si="31">SUM(H9:H17)</f>
        <v>242722.10476800002</v>
      </c>
      <c r="I8" s="332">
        <f t="shared" si="31"/>
        <v>280478.87662080006</v>
      </c>
      <c r="J8" s="332">
        <f t="shared" si="31"/>
        <v>291698.03168563207</v>
      </c>
      <c r="K8" s="332">
        <f t="shared" si="31"/>
        <v>303365.95295305736</v>
      </c>
      <c r="L8" s="332">
        <f t="shared" si="31"/>
        <v>315500.59107117966</v>
      </c>
      <c r="M8" s="332">
        <f t="shared" si="31"/>
        <v>328120.61471402686</v>
      </c>
      <c r="N8" s="332">
        <f t="shared" si="31"/>
        <v>341245.43930258794</v>
      </c>
      <c r="O8" s="332">
        <f t="shared" si="31"/>
        <v>354895.25687469146</v>
      </c>
      <c r="P8" s="332">
        <f t="shared" si="31"/>
        <v>369091.06714967912</v>
      </c>
      <c r="Q8" s="332">
        <f t="shared" si="31"/>
        <v>383854.70983566629</v>
      </c>
      <c r="R8" s="332">
        <f t="shared" si="31"/>
        <v>399208.898229093</v>
      </c>
      <c r="S8" s="332">
        <f t="shared" si="31"/>
        <v>415177.25415825669</v>
      </c>
      <c r="T8" s="332">
        <f t="shared" si="31"/>
        <v>431784.34432458697</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207454.79040000003</v>
      </c>
      <c r="AM8" s="501">
        <f t="shared" ref="AM8:AM40" si="33">H8</f>
        <v>242722.10476800002</v>
      </c>
      <c r="AN8" s="501">
        <f t="shared" ref="AN8:AN40" si="34">I8</f>
        <v>280478.87662080006</v>
      </c>
      <c r="AO8" s="501">
        <f t="shared" ref="AO8:AO40" si="35">J8</f>
        <v>291698.03168563207</v>
      </c>
      <c r="AP8" s="501">
        <f t="shared" ref="AP8:AP40" si="36">K8</f>
        <v>303365.95295305736</v>
      </c>
      <c r="AQ8" s="501">
        <f t="shared" ref="AQ8:AQ40" si="37">L8</f>
        <v>315500.59107117966</v>
      </c>
      <c r="AR8" s="501">
        <f t="shared" ref="AR8:AR40" si="38">M8</f>
        <v>328120.61471402686</v>
      </c>
      <c r="AS8" s="501">
        <f t="shared" ref="AS8:AS40" si="39">N8</f>
        <v>341245.43930258794</v>
      </c>
      <c r="AT8" s="501">
        <f t="shared" ref="AT8:AT40" si="40">O8</f>
        <v>354895.25687469146</v>
      </c>
      <c r="AU8" s="501">
        <f t="shared" ref="AU8:AU40" si="41">P8</f>
        <v>369091.06714967912</v>
      </c>
      <c r="AV8" s="501">
        <f t="shared" ref="AV8:AV40" si="42">Q8</f>
        <v>383854.70983566629</v>
      </c>
      <c r="AW8" s="501">
        <f t="shared" ref="AW8:AW40" si="43">R8</f>
        <v>399208.898229093</v>
      </c>
      <c r="AX8" s="501">
        <f t="shared" ref="AX8:AX40" si="44">S8</f>
        <v>415177.25415825669</v>
      </c>
      <c r="AY8" s="501">
        <f t="shared" ref="AY8:AY40" si="45">T8</f>
        <v>431784.34432458697</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c r="A9" s="326" t="s">
        <v>98</v>
      </c>
      <c r="B9" s="34" t="s">
        <v>248</v>
      </c>
      <c r="C9" s="33" t="s">
        <v>133</v>
      </c>
      <c r="D9" s="331">
        <f>AK9+NPV($C$3,AL9:BN9)</f>
        <v>3177627.7808942399</v>
      </c>
      <c r="E9" s="331">
        <f>SUM(F9:AI9)</f>
        <v>4664597.9320872575</v>
      </c>
      <c r="F9" s="41">
        <f>Pieņēmumi!H69</f>
        <v>0</v>
      </c>
      <c r="G9" s="41">
        <f>Pieņēmumi!I69</f>
        <v>207454.79040000003</v>
      </c>
      <c r="H9" s="41">
        <f>Pieņēmumi!J69</f>
        <v>242722.10476800002</v>
      </c>
      <c r="I9" s="41">
        <f>Pieņēmumi!K69</f>
        <v>280478.87662080006</v>
      </c>
      <c r="J9" s="41">
        <f>Pieņēmumi!L69</f>
        <v>291698.03168563207</v>
      </c>
      <c r="K9" s="41">
        <f>Pieņēmumi!M69</f>
        <v>303365.95295305736</v>
      </c>
      <c r="L9" s="41">
        <f>Pieņēmumi!N69</f>
        <v>315500.59107117966</v>
      </c>
      <c r="M9" s="41">
        <f>Pieņēmumi!O69</f>
        <v>328120.61471402686</v>
      </c>
      <c r="N9" s="41">
        <f>Pieņēmumi!P69</f>
        <v>341245.43930258794</v>
      </c>
      <c r="O9" s="41">
        <f>Pieņēmumi!Q69</f>
        <v>354895.25687469146</v>
      </c>
      <c r="P9" s="41">
        <f>Pieņēmumi!R69</f>
        <v>369091.06714967912</v>
      </c>
      <c r="Q9" s="41">
        <f>Pieņēmumi!S69</f>
        <v>383854.70983566629</v>
      </c>
      <c r="R9" s="41">
        <f>Pieņēmumi!T69</f>
        <v>399208.898229093</v>
      </c>
      <c r="S9" s="41">
        <f>Pieņēmumi!U69</f>
        <v>415177.25415825669</v>
      </c>
      <c r="T9" s="41">
        <f>Pieņēmumi!V69</f>
        <v>431784.34432458697</v>
      </c>
      <c r="U9" s="41"/>
      <c r="V9" s="41"/>
      <c r="W9" s="41"/>
      <c r="X9" s="41"/>
      <c r="Y9" s="41"/>
      <c r="Z9" s="41"/>
      <c r="AA9" s="41"/>
      <c r="AB9" s="41"/>
      <c r="AC9" s="41"/>
      <c r="AD9" s="41"/>
      <c r="AE9" s="41"/>
      <c r="AF9" s="41"/>
      <c r="AG9" s="41"/>
      <c r="AH9" s="41"/>
      <c r="AI9" s="41"/>
      <c r="AK9" s="501">
        <f>F9</f>
        <v>0</v>
      </c>
      <c r="AL9" s="501">
        <f t="shared" si="32"/>
        <v>207454.79040000003</v>
      </c>
      <c r="AM9" s="501">
        <f t="shared" si="33"/>
        <v>242722.10476800002</v>
      </c>
      <c r="AN9" s="501">
        <f t="shared" si="34"/>
        <v>280478.87662080006</v>
      </c>
      <c r="AO9" s="501">
        <f t="shared" si="35"/>
        <v>291698.03168563207</v>
      </c>
      <c r="AP9" s="501">
        <f t="shared" si="36"/>
        <v>303365.95295305736</v>
      </c>
      <c r="AQ9" s="501">
        <f t="shared" si="37"/>
        <v>315500.59107117966</v>
      </c>
      <c r="AR9" s="501">
        <f t="shared" si="38"/>
        <v>328120.61471402686</v>
      </c>
      <c r="AS9" s="501">
        <f t="shared" si="39"/>
        <v>341245.43930258794</v>
      </c>
      <c r="AT9" s="501">
        <f t="shared" si="40"/>
        <v>354895.25687469146</v>
      </c>
      <c r="AU9" s="501">
        <f t="shared" si="41"/>
        <v>369091.06714967912</v>
      </c>
      <c r="AV9" s="501">
        <f t="shared" si="42"/>
        <v>383854.70983566629</v>
      </c>
      <c r="AW9" s="501">
        <f t="shared" si="43"/>
        <v>399208.898229093</v>
      </c>
      <c r="AX9" s="501">
        <f t="shared" si="44"/>
        <v>415177.25415825669</v>
      </c>
      <c r="AY9" s="501">
        <f t="shared" si="45"/>
        <v>431784.34432458697</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c r="A10" s="326" t="s">
        <v>100</v>
      </c>
      <c r="B10" s="34" t="s">
        <v>248</v>
      </c>
      <c r="C10" s="33" t="s">
        <v>133</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c r="A11" s="326" t="s">
        <v>102</v>
      </c>
      <c r="B11" s="34" t="s">
        <v>248</v>
      </c>
      <c r="C11" s="33" t="s">
        <v>133</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c r="A12" s="326" t="s">
        <v>104</v>
      </c>
      <c r="B12" s="34" t="s">
        <v>248</v>
      </c>
      <c r="C12" s="33" t="s">
        <v>133</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c r="A13" s="326" t="s">
        <v>106</v>
      </c>
      <c r="B13" s="34" t="s">
        <v>248</v>
      </c>
      <c r="C13" s="33" t="s">
        <v>133</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c r="A14" s="326" t="s">
        <v>109</v>
      </c>
      <c r="B14" s="34" t="s">
        <v>248</v>
      </c>
      <c r="C14" s="33" t="s">
        <v>133</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c r="A15" s="326" t="s">
        <v>114</v>
      </c>
      <c r="B15" s="34" t="s">
        <v>248</v>
      </c>
      <c r="C15" s="33" t="s">
        <v>133</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c r="A16" s="326" t="s">
        <v>116</v>
      </c>
      <c r="B16" s="34" t="s">
        <v>248</v>
      </c>
      <c r="C16" s="33" t="s">
        <v>133</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c r="A17" s="326" t="s">
        <v>119</v>
      </c>
      <c r="B17" s="34" t="s">
        <v>248</v>
      </c>
      <c r="C17" s="33" t="s">
        <v>133</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c r="A18" s="328">
        <v>2</v>
      </c>
      <c r="B18" s="329" t="s">
        <v>249</v>
      </c>
      <c r="C18" s="330" t="s">
        <v>133</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c r="A19" s="326" t="s">
        <v>194</v>
      </c>
      <c r="B19" s="34" t="s">
        <v>248</v>
      </c>
      <c r="C19" s="33" t="s">
        <v>133</v>
      </c>
      <c r="D19" s="331">
        <f t="shared" si="61"/>
        <v>0</v>
      </c>
      <c r="E19" s="331">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c r="A20" s="326" t="s">
        <v>195</v>
      </c>
      <c r="B20" s="34" t="s">
        <v>248</v>
      </c>
      <c r="C20" s="33" t="s">
        <v>133</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c r="A21" s="326" t="s">
        <v>196</v>
      </c>
      <c r="B21" s="34" t="s">
        <v>248</v>
      </c>
      <c r="C21" s="33" t="s">
        <v>133</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c r="A22" s="326" t="s">
        <v>197</v>
      </c>
      <c r="B22" s="34" t="s">
        <v>248</v>
      </c>
      <c r="C22" s="33" t="s">
        <v>133</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c r="A23" s="326" t="s">
        <v>198</v>
      </c>
      <c r="B23" s="34" t="s">
        <v>248</v>
      </c>
      <c r="C23" s="33" t="s">
        <v>133</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c r="A24" s="328">
        <v>3</v>
      </c>
      <c r="B24" s="329" t="s">
        <v>250</v>
      </c>
      <c r="C24" s="330" t="s">
        <v>133</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c r="A25" s="326" t="s">
        <v>211</v>
      </c>
      <c r="B25" s="34" t="s">
        <v>251</v>
      </c>
      <c r="C25" s="33" t="s">
        <v>133</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c r="A26" s="326" t="s">
        <v>217</v>
      </c>
      <c r="B26" s="34" t="s">
        <v>251</v>
      </c>
      <c r="C26" s="33" t="s">
        <v>133</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c r="A27" s="326" t="s">
        <v>252</v>
      </c>
      <c r="B27" s="34" t="s">
        <v>251</v>
      </c>
      <c r="C27" s="33" t="s">
        <v>133</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c r="A28" s="326" t="s">
        <v>253</v>
      </c>
      <c r="B28" s="34" t="s">
        <v>251</v>
      </c>
      <c r="C28" s="33" t="s">
        <v>133</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c r="A29" s="326" t="s">
        <v>254</v>
      </c>
      <c r="B29" s="34" t="s">
        <v>251</v>
      </c>
      <c r="C29" s="33" t="s">
        <v>133</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c r="A30" s="326" t="s">
        <v>255</v>
      </c>
      <c r="B30" s="34" t="s">
        <v>251</v>
      </c>
      <c r="C30" s="33" t="s">
        <v>133</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c r="A31" s="326" t="s">
        <v>256</v>
      </c>
      <c r="B31" s="34" t="s">
        <v>251</v>
      </c>
      <c r="C31" s="33" t="s">
        <v>133</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c r="A32" s="326" t="s">
        <v>257</v>
      </c>
      <c r="B32" s="34" t="s">
        <v>251</v>
      </c>
      <c r="C32" s="33" t="s">
        <v>133</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c r="A33" s="326" t="s">
        <v>258</v>
      </c>
      <c r="B33" s="34" t="s">
        <v>251</v>
      </c>
      <c r="C33" s="33" t="s">
        <v>133</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c r="A34" s="328">
        <v>4</v>
      </c>
      <c r="B34" s="329" t="s">
        <v>259</v>
      </c>
      <c r="C34" s="330" t="s">
        <v>133</v>
      </c>
      <c r="D34" s="331">
        <f t="shared" si="61"/>
        <v>-1194209.3827045511</v>
      </c>
      <c r="E34" s="331">
        <f t="shared" ref="E34:E42" si="67">SUM(F34:AI34)</f>
        <v>-1141368.5950413223</v>
      </c>
      <c r="F34" s="332">
        <f>SUM(F35:F38)</f>
        <v>-1230271.0743801652</v>
      </c>
      <c r="G34" s="332">
        <f t="shared" ref="G34:AI34" si="68">SUM(G35:G38)</f>
        <v>-49097.520661157025</v>
      </c>
      <c r="H34" s="332">
        <f t="shared" si="68"/>
        <v>2000</v>
      </c>
      <c r="I34" s="332">
        <f t="shared" si="68"/>
        <v>2000</v>
      </c>
      <c r="J34" s="332">
        <f t="shared" si="68"/>
        <v>22000</v>
      </c>
      <c r="K34" s="332">
        <f t="shared" si="68"/>
        <v>2000</v>
      </c>
      <c r="L34" s="332">
        <f t="shared" si="68"/>
        <v>2000</v>
      </c>
      <c r="M34" s="332">
        <f t="shared" si="68"/>
        <v>1000</v>
      </c>
      <c r="N34" s="332">
        <f t="shared" si="68"/>
        <v>1000</v>
      </c>
      <c r="O34" s="332">
        <f t="shared" si="68"/>
        <v>21000</v>
      </c>
      <c r="P34" s="332">
        <f t="shared" si="68"/>
        <v>1000</v>
      </c>
      <c r="Q34" s="332">
        <f t="shared" si="68"/>
        <v>1000</v>
      </c>
      <c r="R34" s="332">
        <f t="shared" si="68"/>
        <v>1000</v>
      </c>
      <c r="S34" s="332">
        <f t="shared" si="68"/>
        <v>1000</v>
      </c>
      <c r="T34" s="332">
        <f t="shared" si="68"/>
        <v>81000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-1230271.0743801652</v>
      </c>
      <c r="AL34" s="501">
        <f t="shared" si="32"/>
        <v>-49097.520661157025</v>
      </c>
      <c r="AM34" s="501">
        <f t="shared" si="33"/>
        <v>2000</v>
      </c>
      <c r="AN34" s="501">
        <f t="shared" si="34"/>
        <v>2000</v>
      </c>
      <c r="AO34" s="501">
        <f t="shared" si="35"/>
        <v>22000</v>
      </c>
      <c r="AP34" s="501">
        <f t="shared" si="36"/>
        <v>2000</v>
      </c>
      <c r="AQ34" s="501">
        <f t="shared" si="37"/>
        <v>2000</v>
      </c>
      <c r="AR34" s="501">
        <f t="shared" si="38"/>
        <v>1000</v>
      </c>
      <c r="AS34" s="501">
        <f t="shared" si="39"/>
        <v>1000</v>
      </c>
      <c r="AT34" s="501">
        <f t="shared" si="40"/>
        <v>21000</v>
      </c>
      <c r="AU34" s="501">
        <f t="shared" si="41"/>
        <v>1000</v>
      </c>
      <c r="AV34" s="501">
        <f t="shared" si="42"/>
        <v>1000</v>
      </c>
      <c r="AW34" s="501">
        <f t="shared" si="43"/>
        <v>1000</v>
      </c>
      <c r="AX34" s="501">
        <f t="shared" si="44"/>
        <v>1000</v>
      </c>
      <c r="AY34" s="501">
        <f t="shared" si="45"/>
        <v>81000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c r="A35" s="326" t="s">
        <v>222</v>
      </c>
      <c r="B35" s="3" t="s">
        <v>210</v>
      </c>
      <c r="C35" s="33" t="s">
        <v>133</v>
      </c>
      <c r="D35" s="331">
        <f t="shared" si="61"/>
        <v>-1301523.8095238095</v>
      </c>
      <c r="E35" s="331">
        <f t="shared" si="67"/>
        <v>-1304000</v>
      </c>
      <c r="F35" s="335">
        <f>'3. DL invest.n.pl.AR pr.'!F25+'3. DL invest.n.pl.AR pr.'!F28</f>
        <v>-1252000</v>
      </c>
      <c r="G35" s="335">
        <f>'3. DL invest.n.pl.AR pr.'!G25+'3. DL invest.n.pl.AR pr.'!G28</f>
        <v>-52000</v>
      </c>
      <c r="H35" s="335">
        <f>'3. DL invest.n.pl.AR pr.'!H25+'3. DL invest.n.pl.AR pr.'!H28</f>
        <v>0</v>
      </c>
      <c r="I35" s="335">
        <f>'3. DL invest.n.pl.AR pr.'!I25+'3. DL invest.n.pl.AR pr.'!I28</f>
        <v>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-1252000</v>
      </c>
      <c r="AL35" s="501">
        <f t="shared" si="32"/>
        <v>-52000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c r="A36" s="326" t="s">
        <v>260</v>
      </c>
      <c r="B36" s="3" t="s">
        <v>261</v>
      </c>
      <c r="C36" s="33" t="s">
        <v>133</v>
      </c>
      <c r="D36" s="331">
        <f t="shared" si="61"/>
        <v>44320.560827550653</v>
      </c>
      <c r="E36" s="331">
        <f t="shared" si="67"/>
        <v>60000</v>
      </c>
      <c r="F36" s="335">
        <f>'3. DL invest.n.pl.AR pr.'!F16-'2. DL invest.n.pl.BEZ pr.'!E16</f>
        <v>0</v>
      </c>
      <c r="G36" s="335">
        <f>'3. DL invest.n.pl.AR pr.'!G16-'2. DL invest.n.pl.BEZ pr.'!F16</f>
        <v>2000</v>
      </c>
      <c r="H36" s="335">
        <f>'3. DL invest.n.pl.AR pr.'!H16-'2. DL invest.n.pl.BEZ pr.'!G16</f>
        <v>2000</v>
      </c>
      <c r="I36" s="335">
        <f>'3. DL invest.n.pl.AR pr.'!I16-'2. DL invest.n.pl.BEZ pr.'!H16</f>
        <v>2000</v>
      </c>
      <c r="J36" s="335">
        <f>'3. DL invest.n.pl.AR pr.'!J16-'2. DL invest.n.pl.BEZ pr.'!I16</f>
        <v>22000</v>
      </c>
      <c r="K36" s="335">
        <f>'3. DL invest.n.pl.AR pr.'!K16-'2. DL invest.n.pl.BEZ pr.'!J16</f>
        <v>2000</v>
      </c>
      <c r="L36" s="335">
        <f>'3. DL invest.n.pl.AR pr.'!L16-'2. DL invest.n.pl.BEZ pr.'!K16</f>
        <v>2000</v>
      </c>
      <c r="M36" s="335">
        <f>'3. DL invest.n.pl.AR pr.'!M16-'2. DL invest.n.pl.BEZ pr.'!L16</f>
        <v>1000</v>
      </c>
      <c r="N36" s="335">
        <f>'3. DL invest.n.pl.AR pr.'!N16-'2. DL invest.n.pl.BEZ pr.'!M16</f>
        <v>1000</v>
      </c>
      <c r="O36" s="335">
        <f>'3. DL invest.n.pl.AR pr.'!O16-'2. DL invest.n.pl.BEZ pr.'!N16</f>
        <v>21000</v>
      </c>
      <c r="P36" s="335">
        <f>'3. DL invest.n.pl.AR pr.'!P16-'2. DL invest.n.pl.BEZ pr.'!O16</f>
        <v>1000</v>
      </c>
      <c r="Q36" s="335">
        <f>'3. DL invest.n.pl.AR pr.'!Q16-'2. DL invest.n.pl.BEZ pr.'!P16</f>
        <v>1000</v>
      </c>
      <c r="R36" s="335">
        <f>'3. DL invest.n.pl.AR pr.'!R16-'2. DL invest.n.pl.BEZ pr.'!Q16</f>
        <v>1000</v>
      </c>
      <c r="S36" s="335">
        <f>'3. DL invest.n.pl.AR pr.'!S16-'2. DL invest.n.pl.BEZ pr.'!R16</f>
        <v>1000</v>
      </c>
      <c r="T36" s="335">
        <f>'3. DL invest.n.pl.AR pr.'!T16-'2. DL invest.n.pl.BEZ pr.'!S16</f>
        <v>1000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2000</v>
      </c>
      <c r="AM36" s="501">
        <f t="shared" si="33"/>
        <v>2000</v>
      </c>
      <c r="AN36" s="501">
        <f t="shared" si="34"/>
        <v>2000</v>
      </c>
      <c r="AO36" s="501">
        <f t="shared" si="35"/>
        <v>22000</v>
      </c>
      <c r="AP36" s="501">
        <f t="shared" si="36"/>
        <v>2000</v>
      </c>
      <c r="AQ36" s="501">
        <f t="shared" si="37"/>
        <v>2000</v>
      </c>
      <c r="AR36" s="501">
        <f t="shared" si="38"/>
        <v>1000</v>
      </c>
      <c r="AS36" s="501">
        <f t="shared" si="39"/>
        <v>1000</v>
      </c>
      <c r="AT36" s="501">
        <f t="shared" si="40"/>
        <v>21000</v>
      </c>
      <c r="AU36" s="501">
        <f t="shared" si="41"/>
        <v>1000</v>
      </c>
      <c r="AV36" s="501">
        <f t="shared" si="42"/>
        <v>1000</v>
      </c>
      <c r="AW36" s="501">
        <f t="shared" si="43"/>
        <v>1000</v>
      </c>
      <c r="AX36" s="501">
        <f t="shared" si="44"/>
        <v>1000</v>
      </c>
      <c r="AY36" s="501">
        <f t="shared" si="45"/>
        <v>1000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c r="A37" s="336" t="s">
        <v>262</v>
      </c>
      <c r="B37" s="3" t="s">
        <v>221</v>
      </c>
      <c r="C37" s="337" t="s">
        <v>133</v>
      </c>
      <c r="D37" s="331">
        <f t="shared" si="61"/>
        <v>40405.43623964148</v>
      </c>
      <c r="E37" s="331">
        <f t="shared" si="67"/>
        <v>80000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80000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80000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c r="A38" s="328">
        <v>5</v>
      </c>
      <c r="B38" s="329" t="s">
        <v>263</v>
      </c>
      <c r="C38" s="330" t="s">
        <v>133</v>
      </c>
      <c r="D38" s="331">
        <f t="shared" si="61"/>
        <v>22588.429752066117</v>
      </c>
      <c r="E38" s="331">
        <f t="shared" si="67"/>
        <v>22631.404958677685</v>
      </c>
      <c r="F38" s="332">
        <f>SUM(F39:F41)</f>
        <v>21728.92561983471</v>
      </c>
      <c r="G38" s="332">
        <f t="shared" ref="G38:AI38" si="69">SUM(G39:G41)</f>
        <v>902.47933884297527</v>
      </c>
      <c r="H38" s="332">
        <f t="shared" si="69"/>
        <v>0</v>
      </c>
      <c r="I38" s="332">
        <f t="shared" si="69"/>
        <v>0</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21728.92561983471</v>
      </c>
      <c r="AL38" s="501">
        <f t="shared" si="32"/>
        <v>902.47933884297527</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c r="A39" s="326" t="s">
        <v>264</v>
      </c>
      <c r="B39" s="3" t="s">
        <v>265</v>
      </c>
      <c r="C39" s="33" t="s">
        <v>133</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c r="A40" s="326" t="s">
        <v>266</v>
      </c>
      <c r="B40" s="3" t="s">
        <v>267</v>
      </c>
      <c r="C40" s="33" t="s">
        <v>133</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c r="A41" s="336" t="s">
        <v>268</v>
      </c>
      <c r="B41" s="3" t="s">
        <v>269</v>
      </c>
      <c r="C41" s="337" t="s">
        <v>133</v>
      </c>
      <c r="D41" s="331">
        <f t="shared" si="61"/>
        <v>22588.429752066117</v>
      </c>
      <c r="E41" s="331">
        <f t="shared" si="67"/>
        <v>22631.404958677685</v>
      </c>
      <c r="F41" s="36">
        <f>-F35*0.1/121*21</f>
        <v>21728.92561983471</v>
      </c>
      <c r="G41" s="36">
        <f t="shared" ref="G41:L41" si="70">-G35*0.1/121*21</f>
        <v>902.47933884297527</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21728.92561983471</v>
      </c>
      <c r="AL41" s="501">
        <f t="shared" ref="AL41:AL42" si="72">G41</f>
        <v>902.47933884297527</v>
      </c>
      <c r="AM41" s="501">
        <f t="shared" ref="AM41:AM42" si="73">H41</f>
        <v>0</v>
      </c>
      <c r="AN41" s="501">
        <f t="shared" ref="AN41:AN42" si="74">I41</f>
        <v>0</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c r="A42" s="339"/>
      <c r="B42" s="340" t="s">
        <v>200</v>
      </c>
      <c r="C42" s="339"/>
      <c r="D42" s="341">
        <f>AK42+NPV($C$3,AL42:BN42)</f>
        <v>1983418.3981896893</v>
      </c>
      <c r="E42" s="341">
        <f t="shared" si="67"/>
        <v>3523229.337045935</v>
      </c>
      <c r="F42" s="342">
        <f>F8+F18+F24+F34</f>
        <v>-1230271.0743801652</v>
      </c>
      <c r="G42" s="342">
        <f>G8+G18+G24+G34</f>
        <v>158357.269738843</v>
      </c>
      <c r="H42" s="342">
        <f t="shared" ref="H42:AI42" si="101">H8+H18+H24+H34</f>
        <v>244722.10476800002</v>
      </c>
      <c r="I42" s="342">
        <f t="shared" si="101"/>
        <v>282478.87662080006</v>
      </c>
      <c r="J42" s="342">
        <f t="shared" si="101"/>
        <v>313698.03168563207</v>
      </c>
      <c r="K42" s="342">
        <f t="shared" si="101"/>
        <v>305365.95295305736</v>
      </c>
      <c r="L42" s="342">
        <f t="shared" si="101"/>
        <v>317500.59107117966</v>
      </c>
      <c r="M42" s="342">
        <f t="shared" si="101"/>
        <v>329120.61471402686</v>
      </c>
      <c r="N42" s="342">
        <f t="shared" si="101"/>
        <v>342245.43930258794</v>
      </c>
      <c r="O42" s="342">
        <f t="shared" si="101"/>
        <v>375895.25687469146</v>
      </c>
      <c r="P42" s="342">
        <f t="shared" si="101"/>
        <v>370091.06714967912</v>
      </c>
      <c r="Q42" s="342">
        <f t="shared" si="101"/>
        <v>384854.70983566629</v>
      </c>
      <c r="R42" s="342">
        <f t="shared" si="101"/>
        <v>400208.898229093</v>
      </c>
      <c r="S42" s="342">
        <f t="shared" si="101"/>
        <v>416177.25415825669</v>
      </c>
      <c r="T42" s="342">
        <f t="shared" si="101"/>
        <v>512784.34432458697</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-1230271.0743801652</v>
      </c>
      <c r="AL42" s="501">
        <f t="shared" si="72"/>
        <v>158357.269738843</v>
      </c>
      <c r="AM42" s="501">
        <f t="shared" si="73"/>
        <v>244722.10476800002</v>
      </c>
      <c r="AN42" s="501">
        <f t="shared" si="74"/>
        <v>282478.87662080006</v>
      </c>
      <c r="AO42" s="501">
        <f t="shared" si="75"/>
        <v>313698.03168563207</v>
      </c>
      <c r="AP42" s="501">
        <f t="shared" si="76"/>
        <v>305365.95295305736</v>
      </c>
      <c r="AQ42" s="501">
        <f t="shared" si="77"/>
        <v>317500.59107117966</v>
      </c>
      <c r="AR42" s="501">
        <f t="shared" si="78"/>
        <v>329120.61471402686</v>
      </c>
      <c r="AS42" s="501">
        <f t="shared" si="79"/>
        <v>342245.43930258794</v>
      </c>
      <c r="AT42" s="501">
        <f t="shared" si="80"/>
        <v>375895.25687469146</v>
      </c>
      <c r="AU42" s="501">
        <f t="shared" si="81"/>
        <v>370091.06714967912</v>
      </c>
      <c r="AV42" s="501">
        <f t="shared" si="82"/>
        <v>384854.70983566629</v>
      </c>
      <c r="AW42" s="501">
        <f t="shared" si="83"/>
        <v>400208.898229093</v>
      </c>
      <c r="AX42" s="501">
        <f t="shared" si="84"/>
        <v>416177.25415825669</v>
      </c>
      <c r="AY42" s="501">
        <f t="shared" si="85"/>
        <v>512784.34432458697</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5" customFormat="1">
      <c r="A43" s="328">
        <v>6</v>
      </c>
      <c r="B43" s="329" t="s">
        <v>270</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5" customFormat="1">
      <c r="A44" s="344" t="s">
        <v>271</v>
      </c>
      <c r="B44" s="226" t="s">
        <v>272</v>
      </c>
      <c r="C44" s="226"/>
      <c r="D44" s="345">
        <f>D42</f>
        <v>1983418.3981896893</v>
      </c>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row>
    <row r="45" spans="1:80" s="195" customFormat="1">
      <c r="A45" s="344" t="s">
        <v>273</v>
      </c>
      <c r="B45" s="226" t="s">
        <v>274</v>
      </c>
      <c r="C45" s="226"/>
      <c r="D45" s="346">
        <f>IRR(F42:AI42)</f>
        <v>0.21607567052556664</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row>
    <row r="46" spans="1:80" s="195" customFormat="1">
      <c r="A46" s="344" t="s">
        <v>275</v>
      </c>
      <c r="B46" s="195" t="s">
        <v>276</v>
      </c>
      <c r="D46" s="347">
        <f>(D8+D18)/-(D24+D34)</f>
        <v>2.6608631843921704</v>
      </c>
    </row>
    <row r="47" spans="1:80" s="195" customFormat="1" ht="12.75" customHeight="1">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c r="A48" s="268">
        <v>7</v>
      </c>
      <c r="B48" s="269" t="s">
        <v>277</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c r="A49" s="326" t="s">
        <v>144</v>
      </c>
      <c r="C49" s="33"/>
      <c r="D49" s="33"/>
      <c r="E49" s="33"/>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352">
        <f>SUM(F49:AH49)</f>
        <v>0</v>
      </c>
    </row>
    <row r="50" spans="1:35" s="3" customFormat="1" hidden="1">
      <c r="A50" s="326" t="s">
        <v>145</v>
      </c>
      <c r="C50" s="33"/>
      <c r="D50" s="33"/>
      <c r="E50" s="3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352">
        <f>SUM(F50:AH50)</f>
        <v>0</v>
      </c>
    </row>
    <row r="51" spans="1:35" s="3" customFormat="1" hidden="1">
      <c r="A51" s="326" t="s">
        <v>278</v>
      </c>
      <c r="C51" s="33"/>
      <c r="D51" s="33"/>
      <c r="E51" s="3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352">
        <f>SUM(F51:AH51)</f>
        <v>0</v>
      </c>
    </row>
    <row r="52" spans="1:35" s="3" customFormat="1" hidden="1">
      <c r="A52" s="336" t="s">
        <v>279</v>
      </c>
      <c r="B52" s="353"/>
      <c r="C52" s="337"/>
      <c r="D52" s="337"/>
      <c r="E52" s="33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54">
        <f>SUM(F52:AH52)</f>
        <v>0</v>
      </c>
    </row>
    <row r="53" spans="1:35" s="195" customFormat="1" ht="12.75" hidden="1" customHeight="1">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L36" sqref="L36"/>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71" t="s">
        <v>282</v>
      </c>
      <c r="B1" s="571"/>
      <c r="C1" s="571"/>
      <c r="D1" s="571"/>
      <c r="E1" s="571"/>
      <c r="F1" s="571"/>
      <c r="G1" s="571"/>
      <c r="H1" s="57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6"/>
      <c r="B3" s="42" t="s">
        <v>283</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6" t="s">
        <v>284</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7"/>
      <c r="B5" s="192"/>
      <c r="C5" s="192"/>
      <c r="D5" s="288"/>
      <c r="E5" s="288"/>
      <c r="F5" s="322" t="s">
        <v>245</v>
      </c>
      <c r="G5" s="323"/>
      <c r="H5" s="290">
        <f>'5.DL soc.econom. analīze'!F5</f>
        <v>1</v>
      </c>
      <c r="I5" s="290">
        <f>'5.DL soc.econom. analīze'!G5</f>
        <v>2</v>
      </c>
      <c r="J5" s="290">
        <f>'5.DL soc.econom. analīze'!H5</f>
        <v>3</v>
      </c>
      <c r="K5" s="290">
        <f>'5.DL soc.econom. analīze'!I5</f>
        <v>4</v>
      </c>
      <c r="L5" s="290">
        <f>'5.DL soc.econom. analīze'!J5</f>
        <v>5</v>
      </c>
      <c r="M5" s="290">
        <f>'5.DL soc.econom. analīze'!K5</f>
        <v>6</v>
      </c>
      <c r="N5" s="290">
        <f>'5.DL soc.econom. analīze'!L5</f>
        <v>7</v>
      </c>
      <c r="O5" s="290">
        <f>'5.DL soc.econom. analīze'!M5</f>
        <v>8</v>
      </c>
      <c r="P5" s="290">
        <f>'5.DL soc.econom. analīze'!N5</f>
        <v>9</v>
      </c>
      <c r="Q5" s="290">
        <f>'5.DL soc.econom. analīze'!O5</f>
        <v>10</v>
      </c>
      <c r="R5" s="290">
        <f>'5.DL soc.econom. analīze'!P5</f>
        <v>11</v>
      </c>
      <c r="S5" s="290">
        <f>'5.DL soc.econom. analīze'!Q5</f>
        <v>12</v>
      </c>
      <c r="T5" s="290">
        <f>'5.DL soc.econom. analīze'!R5</f>
        <v>13</v>
      </c>
      <c r="U5" s="290">
        <f>'5.DL soc.econom. analīze'!S5</f>
        <v>14</v>
      </c>
      <c r="V5" s="290">
        <f>'5.DL soc.econom. analīze'!T5</f>
        <v>15</v>
      </c>
      <c r="W5" s="290">
        <f>'5.DL soc.econom. analīze'!U5</f>
        <v>16</v>
      </c>
      <c r="X5" s="290">
        <f>'5.DL soc.econom. analīze'!V5</f>
        <v>17</v>
      </c>
      <c r="Y5" s="290">
        <f>'5.DL soc.econom. analīze'!W5</f>
        <v>18</v>
      </c>
      <c r="Z5" s="290">
        <f>'5.DL soc.econom. analīze'!X5</f>
        <v>19</v>
      </c>
      <c r="AA5" s="290">
        <f>'5.DL soc.econom. analīze'!Y5</f>
        <v>20</v>
      </c>
      <c r="AB5" s="290">
        <f>'5.DL soc.econom. analīze'!Z5</f>
        <v>21</v>
      </c>
      <c r="AC5" s="290">
        <f>'5.DL soc.econom. analīze'!AA5</f>
        <v>22</v>
      </c>
      <c r="AD5" s="290">
        <f>'5.DL soc.econom. analīze'!AB5</f>
        <v>23</v>
      </c>
      <c r="AE5" s="290">
        <f>'5.DL soc.econom. analīze'!AC5</f>
        <v>24</v>
      </c>
      <c r="AF5" s="290">
        <f>'5.DL soc.econom. analīze'!AD5</f>
        <v>25</v>
      </c>
      <c r="AG5" s="290">
        <f>'5.DL soc.econom. analīze'!AE5</f>
        <v>26</v>
      </c>
      <c r="AH5" s="290">
        <f>'5.DL soc.econom. analīze'!AF5</f>
        <v>27</v>
      </c>
      <c r="AI5" s="290">
        <f>'5.DL soc.econom. analīze'!AG5</f>
        <v>28</v>
      </c>
      <c r="AJ5" s="290">
        <f>'5.DL soc.econom. analīze'!AH5</f>
        <v>29</v>
      </c>
      <c r="AK5" s="290">
        <f>'5.DL soc.econom. analīze'!AI5</f>
        <v>30</v>
      </c>
    </row>
    <row r="6" spans="1:37">
      <c r="A6" s="358">
        <v>1</v>
      </c>
      <c r="B6" s="314" t="s">
        <v>191</v>
      </c>
      <c r="C6" s="314"/>
      <c r="D6" s="314"/>
      <c r="E6" s="204" t="s">
        <v>189</v>
      </c>
      <c r="F6" s="359" t="s">
        <v>190</v>
      </c>
      <c r="G6" s="359" t="s">
        <v>190</v>
      </c>
      <c r="H6" s="291">
        <f>'5.DL soc.econom. analīze'!F6</f>
        <v>2024</v>
      </c>
      <c r="I6" s="291">
        <f>'5.DL soc.econom. analīze'!G6</f>
        <v>2025</v>
      </c>
      <c r="J6" s="291">
        <f>'5.DL soc.econom. analīze'!H6</f>
        <v>2026</v>
      </c>
      <c r="K6" s="291">
        <f>'5.DL soc.econom. analīze'!I6</f>
        <v>2027</v>
      </c>
      <c r="L6" s="291">
        <f>'5.DL soc.econom. analīze'!J6</f>
        <v>2028</v>
      </c>
      <c r="M6" s="291">
        <f>'5.DL soc.econom. analīze'!K6</f>
        <v>2029</v>
      </c>
      <c r="N6" s="291">
        <f>'5.DL soc.econom. analīze'!L6</f>
        <v>2030</v>
      </c>
      <c r="O6" s="291">
        <f>'5.DL soc.econom. analīze'!M6</f>
        <v>2031</v>
      </c>
      <c r="P6" s="291">
        <f>'5.DL soc.econom. analīze'!N6</f>
        <v>2032</v>
      </c>
      <c r="Q6" s="291">
        <f>'5.DL soc.econom. analīze'!O6</f>
        <v>2033</v>
      </c>
      <c r="R6" s="291">
        <f>'5.DL soc.econom. analīze'!P6</f>
        <v>2034</v>
      </c>
      <c r="S6" s="291">
        <f>'5.DL soc.econom. analīze'!Q6</f>
        <v>2035</v>
      </c>
      <c r="T6" s="291">
        <f>'5.DL soc.econom. analīze'!R6</f>
        <v>2036</v>
      </c>
      <c r="U6" s="291">
        <f>'5.DL soc.econom. analīze'!S6</f>
        <v>2037</v>
      </c>
      <c r="V6" s="291">
        <f>'5.DL soc.econom. analīze'!T6</f>
        <v>2038</v>
      </c>
      <c r="W6" s="291">
        <f>'5.DL soc.econom. analīze'!U6</f>
        <v>2039</v>
      </c>
      <c r="X6" s="291">
        <f>'5.DL soc.econom. analīze'!V6</f>
        <v>2040</v>
      </c>
      <c r="Y6" s="291">
        <f>'5.DL soc.econom. analīze'!W6</f>
        <v>2041</v>
      </c>
      <c r="Z6" s="291">
        <f>'5.DL soc.econom. analīze'!X6</f>
        <v>2042</v>
      </c>
      <c r="AA6" s="291">
        <f>'5.DL soc.econom. analīze'!Y6</f>
        <v>2043</v>
      </c>
      <c r="AB6" s="291">
        <f>'5.DL soc.econom. analīze'!Z6</f>
        <v>2044</v>
      </c>
      <c r="AC6" s="291">
        <f>'5.DL soc.econom. analīze'!AA6</f>
        <v>2045</v>
      </c>
      <c r="AD6" s="291">
        <f>'5.DL soc.econom. analīze'!AB6</f>
        <v>2046</v>
      </c>
      <c r="AE6" s="291">
        <f>'5.DL soc.econom. analīze'!AC6</f>
        <v>2047</v>
      </c>
      <c r="AF6" s="291">
        <f>'5.DL soc.econom. analīze'!AD6</f>
        <v>2048</v>
      </c>
      <c r="AG6" s="291">
        <f>'5.DL soc.econom. analīze'!AE6</f>
        <v>2049</v>
      </c>
      <c r="AH6" s="291">
        <f>'5.DL soc.econom. analīze'!AF6</f>
        <v>2050</v>
      </c>
      <c r="AI6" s="291">
        <f>'5.DL soc.econom. analīze'!AG6</f>
        <v>2051</v>
      </c>
      <c r="AJ6" s="291">
        <f>'5.DL soc.econom. analīze'!AH6</f>
        <v>2052</v>
      </c>
      <c r="AK6" s="291">
        <f>'5.DL soc.econom. analīze'!AI6</f>
        <v>2053</v>
      </c>
    </row>
    <row r="7" spans="1:37">
      <c r="A7" s="360"/>
      <c r="B7" s="361" t="s">
        <v>98</v>
      </c>
      <c r="C7" s="361" t="s">
        <v>285</v>
      </c>
      <c r="D7" s="361"/>
      <c r="E7" s="362" t="s">
        <v>133</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c r="A8" s="365"/>
      <c r="B8" s="29" t="s">
        <v>100</v>
      </c>
      <c r="C8" s="29" t="s">
        <v>223</v>
      </c>
      <c r="D8" s="29"/>
      <c r="E8" s="366" t="s">
        <v>133</v>
      </c>
      <c r="F8" s="331">
        <f>H8+NPV($F$3,I8:AK8)</f>
        <v>46198.006625744456</v>
      </c>
      <c r="G8" s="331">
        <f t="shared" ref="G8:G13" si="0">SUM(H8:AK8)</f>
        <v>80000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80000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c r="A9" s="365"/>
      <c r="B9" s="29" t="s">
        <v>102</v>
      </c>
      <c r="C9" s="29" t="s">
        <v>286</v>
      </c>
      <c r="D9" s="29"/>
      <c r="E9" s="366" t="s">
        <v>133</v>
      </c>
      <c r="F9" s="331">
        <f t="shared" ref="F9:F13" si="1">H9+NPV($F$3,I9:AK9)</f>
        <v>46953.078318372311</v>
      </c>
      <c r="G9" s="331">
        <f t="shared" si="0"/>
        <v>60000</v>
      </c>
      <c r="H9" s="367">
        <f>'3. DL invest.n.pl.AR pr.'!F16-'2. DL invest.n.pl.BEZ pr.'!E16</f>
        <v>0</v>
      </c>
      <c r="I9" s="368">
        <f>'3. DL invest.n.pl.AR pr.'!G16-'2. DL invest.n.pl.BEZ pr.'!F16</f>
        <v>2000</v>
      </c>
      <c r="J9" s="368">
        <f>'3. DL invest.n.pl.AR pr.'!H16-'2. DL invest.n.pl.BEZ pr.'!G16</f>
        <v>2000</v>
      </c>
      <c r="K9" s="368">
        <f>'3. DL invest.n.pl.AR pr.'!I16-'2. DL invest.n.pl.BEZ pr.'!H16</f>
        <v>2000</v>
      </c>
      <c r="L9" s="368">
        <f>'3. DL invest.n.pl.AR pr.'!J16-'2. DL invest.n.pl.BEZ pr.'!I16</f>
        <v>22000</v>
      </c>
      <c r="M9" s="368">
        <f>'3. DL invest.n.pl.AR pr.'!K16-'2. DL invest.n.pl.BEZ pr.'!J16</f>
        <v>2000</v>
      </c>
      <c r="N9" s="368">
        <f>'3. DL invest.n.pl.AR pr.'!L16-'2. DL invest.n.pl.BEZ pr.'!K16</f>
        <v>2000</v>
      </c>
      <c r="O9" s="368">
        <f>'3. DL invest.n.pl.AR pr.'!M16-'2. DL invest.n.pl.BEZ pr.'!L16</f>
        <v>1000</v>
      </c>
      <c r="P9" s="368">
        <f>'3. DL invest.n.pl.AR pr.'!N16-'2. DL invest.n.pl.BEZ pr.'!M16</f>
        <v>1000</v>
      </c>
      <c r="Q9" s="368">
        <f>'3. DL invest.n.pl.AR pr.'!O16-'2. DL invest.n.pl.BEZ pr.'!N16</f>
        <v>21000</v>
      </c>
      <c r="R9" s="368">
        <f>'3. DL invest.n.pl.AR pr.'!P16-'2. DL invest.n.pl.BEZ pr.'!O16</f>
        <v>1000</v>
      </c>
      <c r="S9" s="368">
        <f>'3. DL invest.n.pl.AR pr.'!Q16-'2. DL invest.n.pl.BEZ pr.'!P16</f>
        <v>1000</v>
      </c>
      <c r="T9" s="368">
        <f>'3. DL invest.n.pl.AR pr.'!R16-'2. DL invest.n.pl.BEZ pr.'!Q16</f>
        <v>1000</v>
      </c>
      <c r="U9" s="368">
        <f>'3. DL invest.n.pl.AR pr.'!S16-'2. DL invest.n.pl.BEZ pr.'!R16</f>
        <v>1000</v>
      </c>
      <c r="V9" s="368">
        <f>'3. DL invest.n.pl.AR pr.'!T16-'2. DL invest.n.pl.BEZ pr.'!S16</f>
        <v>1000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c r="A10" s="365"/>
      <c r="B10" s="29" t="s">
        <v>104</v>
      </c>
      <c r="C10" s="29" t="s">
        <v>238</v>
      </c>
      <c r="D10" s="29"/>
      <c r="E10" s="366" t="s">
        <v>133</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c r="A11" s="365"/>
      <c r="B11" s="29" t="s">
        <v>106</v>
      </c>
      <c r="C11" s="29" t="s">
        <v>287</v>
      </c>
      <c r="D11" s="29"/>
      <c r="E11" s="366" t="s">
        <v>133</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c r="A12" s="365"/>
      <c r="B12" s="29" t="s">
        <v>109</v>
      </c>
      <c r="C12" s="29" t="s">
        <v>288</v>
      </c>
      <c r="D12" s="29"/>
      <c r="E12" s="366" t="s">
        <v>133</v>
      </c>
      <c r="F12" s="331">
        <f t="shared" si="1"/>
        <v>-748650</v>
      </c>
      <c r="G12" s="331">
        <f t="shared" si="0"/>
        <v>-749800</v>
      </c>
      <c r="H12" s="367">
        <f>-('9. DL PI Fin.plans'!B6+'9. DL PI Fin.plans'!B7+'9. DL PI Fin.plans'!B8+'9. DL PI Fin.plans'!B9+'9. DL PI Fin.plans'!B11)</f>
        <v>-719900</v>
      </c>
      <c r="I12" s="368">
        <f>-('9. DL PI Fin.plans'!D6+'9. DL PI Fin.plans'!D7+'9. DL PI Fin.plans'!D8+'9. DL PI Fin.plans'!D9+'9. DL PI Fin.plans'!D11)</f>
        <v>-29900</v>
      </c>
      <c r="J12" s="368">
        <f>-('9. DL PI Fin.plans'!F6+'9. DL PI Fin.plans'!F7+'9. DL PI Fin.plans'!F8+'9. DL PI Fin.plans'!F9+'9. DL PI Fin.plans'!F11)</f>
        <v>0</v>
      </c>
      <c r="K12" s="368">
        <f>-('9. DL PI Fin.plans'!H6+'9. DL PI Fin.plans'!H7+'9. DL PI Fin.plans'!H8+'9. DL PI Fin.plans'!H9+'9. DL PI Fin.plans'!H11)</f>
        <v>0</v>
      </c>
      <c r="L12" s="368">
        <f>-('9. DL PI Fin.plans'!J6+'9. DL PI Fin.plans'!J7+'9. DL PI Fin.plans'!J8+'9. DL PI Fin.plans'!J9+'9. DL PI Fin.plans'!J11)</f>
        <v>0</v>
      </c>
      <c r="M12" s="368">
        <f>-('9. DL PI Fin.plans'!L6+'9. DL PI Fin.plans'!L7+'9. DL PI Fin.plans'!L8+'9. DL PI Fin.plans'!L9+'9. DL PI Fin.plans'!L11)</f>
        <v>0</v>
      </c>
      <c r="N12" s="368">
        <f>-('9. DL PI Fin.plans'!N6+'9. DL PI Fin.plans'!N7+'9. DL PI Fin.plans'!N8+'9. DL PI Fin.plans'!N9+'9. DL PI Fin.plans'!N11)</f>
        <v>0</v>
      </c>
      <c r="O12" s="368">
        <f>-('9. DL PI Fin.plans'!P6+'9. DL PI Fin.plans'!P7+'9. DL PI Fin.plans'!P8+'9. DL PI Fin.plans'!P9+'9. DL PI Fin.plans'!P11)</f>
        <v>0</v>
      </c>
      <c r="P12" s="368">
        <f>-('9. DL PI Fin.plans'!R6+'9. DL PI Fin.plans'!R7+'9. DL PI Fin.plans'!R8+'9. DL PI Fin.plans'!R9+'9. DL PI Fin.plans'!R11)</f>
        <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c r="A13" s="365"/>
      <c r="B13" s="29" t="s">
        <v>114</v>
      </c>
      <c r="C13" s="306" t="s">
        <v>200</v>
      </c>
      <c r="D13" s="306"/>
      <c r="E13" s="366" t="s">
        <v>133</v>
      </c>
      <c r="F13" s="331">
        <f t="shared" si="1"/>
        <v>-655498.91505588323</v>
      </c>
      <c r="G13" s="331">
        <f t="shared" si="0"/>
        <v>-609800</v>
      </c>
      <c r="H13" s="369">
        <f>SUM(H7:H12)</f>
        <v>-719900</v>
      </c>
      <c r="I13" s="370">
        <f t="shared" ref="I13:P13" si="2">SUM(I7:I12)</f>
        <v>-27900</v>
      </c>
      <c r="J13" s="370">
        <f t="shared" si="2"/>
        <v>2000</v>
      </c>
      <c r="K13" s="370">
        <f t="shared" si="2"/>
        <v>2000</v>
      </c>
      <c r="L13" s="370">
        <f t="shared" si="2"/>
        <v>22000</v>
      </c>
      <c r="M13" s="370">
        <f t="shared" si="2"/>
        <v>2000</v>
      </c>
      <c r="N13" s="370">
        <f t="shared" si="2"/>
        <v>2000</v>
      </c>
      <c r="O13" s="370">
        <f t="shared" si="2"/>
        <v>1000</v>
      </c>
      <c r="P13" s="370">
        <f t="shared" si="2"/>
        <v>1000</v>
      </c>
      <c r="Q13" s="370">
        <f t="shared" ref="Q13:AK13" si="3">SUM(Q7:Q12)</f>
        <v>21000</v>
      </c>
      <c r="R13" s="370">
        <f t="shared" si="3"/>
        <v>1000</v>
      </c>
      <c r="S13" s="370">
        <f t="shared" si="3"/>
        <v>1000</v>
      </c>
      <c r="T13" s="370">
        <f t="shared" si="3"/>
        <v>1000</v>
      </c>
      <c r="U13" s="370">
        <f t="shared" si="3"/>
        <v>1000</v>
      </c>
      <c r="V13" s="370">
        <f t="shared" si="3"/>
        <v>81000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c r="A14" s="29"/>
      <c r="B14" s="29"/>
      <c r="C14" s="29"/>
      <c r="D14" s="29"/>
      <c r="E14" s="33"/>
      <c r="F14" s="33"/>
      <c r="G14" s="33"/>
      <c r="H14" s="33"/>
      <c r="I14" s="371"/>
      <c r="J14" s="325"/>
      <c r="K14" s="371"/>
      <c r="L14" s="325"/>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68">
        <v>2</v>
      </c>
      <c r="B15" s="269" t="s">
        <v>270</v>
      </c>
      <c r="C15" s="269"/>
      <c r="D15" s="269"/>
      <c r="E15" s="269"/>
      <c r="F15" s="269"/>
      <c r="G15" s="269"/>
      <c r="H15" s="269"/>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row>
    <row r="16" spans="1:37">
      <c r="A16" s="360"/>
      <c r="B16" s="361" t="s">
        <v>194</v>
      </c>
      <c r="C16" s="361" t="s">
        <v>289</v>
      </c>
      <c r="D16" s="361"/>
      <c r="E16" s="372"/>
      <c r="F16" s="326"/>
      <c r="G16" s="326"/>
      <c r="H16" s="326"/>
      <c r="I16" s="373">
        <f>F13</f>
        <v>-655498.91505588323</v>
      </c>
      <c r="J16" s="29"/>
      <c r="K16" s="29"/>
      <c r="L16" s="29"/>
      <c r="M16" s="29"/>
      <c r="N16" s="29"/>
      <c r="O16" s="29"/>
      <c r="P16" s="374"/>
      <c r="Q16" s="29"/>
      <c r="R16" s="29"/>
      <c r="S16" s="29"/>
      <c r="T16" s="29"/>
      <c r="U16" s="29"/>
      <c r="V16" s="29"/>
      <c r="W16" s="29"/>
      <c r="X16" s="29"/>
      <c r="Y16" s="29"/>
      <c r="Z16" s="29"/>
      <c r="AA16" s="29"/>
      <c r="AB16" s="29"/>
      <c r="AC16" s="29"/>
      <c r="AD16" s="29"/>
      <c r="AE16" s="29"/>
      <c r="AF16" s="29"/>
      <c r="AG16" s="29"/>
      <c r="AH16" s="29"/>
      <c r="AI16" s="29"/>
      <c r="AJ16" s="29"/>
      <c r="AK16" s="29"/>
    </row>
    <row r="17" spans="1:42">
      <c r="A17" s="375"/>
      <c r="B17" s="356" t="s">
        <v>195</v>
      </c>
      <c r="C17" s="356" t="s">
        <v>290</v>
      </c>
      <c r="D17" s="356"/>
      <c r="E17" s="336"/>
      <c r="F17" s="326"/>
      <c r="G17" s="326"/>
      <c r="H17" s="326"/>
      <c r="I17" s="376">
        <f>IRR(H13:AK13,K17)</f>
        <v>-0.13287831109636949</v>
      </c>
      <c r="J17" s="29"/>
      <c r="K17" s="43">
        <v>-0.5</v>
      </c>
      <c r="L17" s="29" t="s">
        <v>291</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68"/>
      <c r="B18" s="269"/>
      <c r="C18" s="269"/>
      <c r="D18" s="269"/>
      <c r="E18" s="269"/>
      <c r="F18" s="269"/>
      <c r="G18" s="269"/>
      <c r="H18" s="269"/>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row>
    <row r="19" spans="1:42" s="226" customFormat="1" ht="24.95" customHeight="1">
      <c r="A19" s="572" t="s">
        <v>292</v>
      </c>
      <c r="B19" s="572"/>
      <c r="C19" s="572"/>
      <c r="D19" s="572"/>
      <c r="E19" s="572"/>
      <c r="F19" s="572"/>
      <c r="G19" s="377"/>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6" customFormat="1" ht="12.75" customHeight="1">
      <c r="A20" s="378"/>
      <c r="B20" s="288"/>
      <c r="C20" s="192"/>
      <c r="D20" s="198"/>
      <c r="E20" s="199"/>
      <c r="F20" s="322" t="s">
        <v>245</v>
      </c>
      <c r="G20" s="323"/>
      <c r="H20" s="290">
        <f>H5</f>
        <v>1</v>
      </c>
      <c r="I20" s="290">
        <f t="shared" ref="I20:AK20" si="4">I5</f>
        <v>2</v>
      </c>
      <c r="J20" s="290">
        <f t="shared" si="4"/>
        <v>3</v>
      </c>
      <c r="K20" s="290">
        <f t="shared" si="4"/>
        <v>4</v>
      </c>
      <c r="L20" s="290">
        <f t="shared" si="4"/>
        <v>5</v>
      </c>
      <c r="M20" s="290">
        <f t="shared" si="4"/>
        <v>6</v>
      </c>
      <c r="N20" s="290">
        <f t="shared" si="4"/>
        <v>7</v>
      </c>
      <c r="O20" s="290">
        <f t="shared" si="4"/>
        <v>8</v>
      </c>
      <c r="P20" s="290">
        <f t="shared" si="4"/>
        <v>9</v>
      </c>
      <c r="Q20" s="290">
        <f t="shared" si="4"/>
        <v>10</v>
      </c>
      <c r="R20" s="290">
        <f t="shared" si="4"/>
        <v>11</v>
      </c>
      <c r="S20" s="290">
        <f t="shared" si="4"/>
        <v>12</v>
      </c>
      <c r="T20" s="290">
        <f t="shared" si="4"/>
        <v>13</v>
      </c>
      <c r="U20" s="290">
        <f t="shared" si="4"/>
        <v>14</v>
      </c>
      <c r="V20" s="290">
        <f t="shared" si="4"/>
        <v>15</v>
      </c>
      <c r="W20" s="290">
        <f t="shared" si="4"/>
        <v>16</v>
      </c>
      <c r="X20" s="290">
        <f t="shared" si="4"/>
        <v>17</v>
      </c>
      <c r="Y20" s="290">
        <f t="shared" si="4"/>
        <v>18</v>
      </c>
      <c r="Z20" s="290">
        <f t="shared" si="4"/>
        <v>19</v>
      </c>
      <c r="AA20" s="290">
        <f t="shared" si="4"/>
        <v>20</v>
      </c>
      <c r="AB20" s="290">
        <f t="shared" si="4"/>
        <v>21</v>
      </c>
      <c r="AC20" s="290">
        <f t="shared" si="4"/>
        <v>22</v>
      </c>
      <c r="AD20" s="290">
        <f t="shared" si="4"/>
        <v>23</v>
      </c>
      <c r="AE20" s="290">
        <f t="shared" si="4"/>
        <v>24</v>
      </c>
      <c r="AF20" s="290">
        <f t="shared" si="4"/>
        <v>25</v>
      </c>
      <c r="AG20" s="290">
        <f t="shared" si="4"/>
        <v>26</v>
      </c>
      <c r="AH20" s="290">
        <f t="shared" si="4"/>
        <v>27</v>
      </c>
      <c r="AI20" s="290">
        <f t="shared" si="4"/>
        <v>28</v>
      </c>
      <c r="AJ20" s="290">
        <f t="shared" si="4"/>
        <v>29</v>
      </c>
      <c r="AK20" s="290">
        <f t="shared" si="4"/>
        <v>30</v>
      </c>
      <c r="AL20" s="29"/>
    </row>
    <row r="21" spans="1:42" s="226" customFormat="1" ht="12.75">
      <c r="A21" s="358">
        <v>3</v>
      </c>
      <c r="B21" s="314" t="s">
        <v>191</v>
      </c>
      <c r="C21" s="314"/>
      <c r="D21" s="203"/>
      <c r="E21" s="204" t="s">
        <v>189</v>
      </c>
      <c r="F21" s="359" t="s">
        <v>190</v>
      </c>
      <c r="G21" s="359" t="s">
        <v>190</v>
      </c>
      <c r="H21" s="291">
        <f>H6</f>
        <v>2024</v>
      </c>
      <c r="I21" s="291">
        <f t="shared" ref="I21:AK21" si="5">I6</f>
        <v>2025</v>
      </c>
      <c r="J21" s="291">
        <f t="shared" si="5"/>
        <v>2026</v>
      </c>
      <c r="K21" s="291">
        <f t="shared" si="5"/>
        <v>2027</v>
      </c>
      <c r="L21" s="291">
        <f t="shared" si="5"/>
        <v>2028</v>
      </c>
      <c r="M21" s="291">
        <f t="shared" si="5"/>
        <v>2029</v>
      </c>
      <c r="N21" s="291">
        <f t="shared" si="5"/>
        <v>2030</v>
      </c>
      <c r="O21" s="291">
        <f t="shared" si="5"/>
        <v>2031</v>
      </c>
      <c r="P21" s="291">
        <f t="shared" si="5"/>
        <v>2032</v>
      </c>
      <c r="Q21" s="291">
        <f t="shared" si="5"/>
        <v>2033</v>
      </c>
      <c r="R21" s="291">
        <f t="shared" si="5"/>
        <v>2034</v>
      </c>
      <c r="S21" s="291">
        <f t="shared" si="5"/>
        <v>2035</v>
      </c>
      <c r="T21" s="291">
        <f t="shared" si="5"/>
        <v>2036</v>
      </c>
      <c r="U21" s="291">
        <f t="shared" si="5"/>
        <v>2037</v>
      </c>
      <c r="V21" s="291">
        <f t="shared" si="5"/>
        <v>2038</v>
      </c>
      <c r="W21" s="291">
        <f t="shared" si="5"/>
        <v>2039</v>
      </c>
      <c r="X21" s="291">
        <f t="shared" si="5"/>
        <v>2040</v>
      </c>
      <c r="Y21" s="291">
        <f t="shared" si="5"/>
        <v>2041</v>
      </c>
      <c r="Z21" s="291">
        <f t="shared" si="5"/>
        <v>2042</v>
      </c>
      <c r="AA21" s="291">
        <f t="shared" si="5"/>
        <v>2043</v>
      </c>
      <c r="AB21" s="291">
        <f t="shared" si="5"/>
        <v>2044</v>
      </c>
      <c r="AC21" s="291">
        <f t="shared" si="5"/>
        <v>2045</v>
      </c>
      <c r="AD21" s="291">
        <f t="shared" si="5"/>
        <v>2046</v>
      </c>
      <c r="AE21" s="291">
        <f t="shared" si="5"/>
        <v>2047</v>
      </c>
      <c r="AF21" s="291">
        <f t="shared" si="5"/>
        <v>2048</v>
      </c>
      <c r="AG21" s="291">
        <f t="shared" si="5"/>
        <v>2049</v>
      </c>
      <c r="AH21" s="291">
        <f t="shared" si="5"/>
        <v>2050</v>
      </c>
      <c r="AI21" s="291">
        <f t="shared" si="5"/>
        <v>2051</v>
      </c>
      <c r="AJ21" s="291">
        <f t="shared" si="5"/>
        <v>2052</v>
      </c>
      <c r="AK21" s="291">
        <f t="shared" si="5"/>
        <v>2053</v>
      </c>
      <c r="AL21" s="29"/>
      <c r="AM21" s="267"/>
      <c r="AN21" s="267"/>
      <c r="AO21" s="267"/>
      <c r="AP21" s="267"/>
    </row>
    <row r="22" spans="1:42" s="29" customFormat="1" ht="12.75">
      <c r="A22" s="360"/>
      <c r="B22" s="379" t="s">
        <v>211</v>
      </c>
      <c r="C22" s="361" t="s">
        <v>227</v>
      </c>
      <c r="D22" s="361"/>
      <c r="E22" s="380" t="s">
        <v>133</v>
      </c>
      <c r="F22" s="381">
        <f t="shared" ref="F22:F26" si="6">H22+NPV($F$3,I22:AK22)</f>
        <v>0</v>
      </c>
      <c r="G22" s="331">
        <f>SUM(H22:AK22)</f>
        <v>0</v>
      </c>
      <c r="H22" s="382">
        <f>H7</f>
        <v>0</v>
      </c>
      <c r="I22" s="382">
        <f t="shared" ref="I22:AK22" si="7">I7</f>
        <v>0</v>
      </c>
      <c r="J22" s="382">
        <f t="shared" si="7"/>
        <v>0</v>
      </c>
      <c r="K22" s="382">
        <f t="shared" si="7"/>
        <v>0</v>
      </c>
      <c r="L22" s="382">
        <f t="shared" si="7"/>
        <v>0</v>
      </c>
      <c r="M22" s="382">
        <f t="shared" si="7"/>
        <v>0</v>
      </c>
      <c r="N22" s="382">
        <f t="shared" si="7"/>
        <v>0</v>
      </c>
      <c r="O22" s="382">
        <f t="shared" si="7"/>
        <v>0</v>
      </c>
      <c r="P22" s="382">
        <f t="shared" si="7"/>
        <v>0</v>
      </c>
      <c r="Q22" s="382">
        <f t="shared" si="7"/>
        <v>0</v>
      </c>
      <c r="R22" s="382">
        <f t="shared" si="7"/>
        <v>0</v>
      </c>
      <c r="S22" s="382">
        <f t="shared" si="7"/>
        <v>0</v>
      </c>
      <c r="T22" s="382">
        <f t="shared" si="7"/>
        <v>0</v>
      </c>
      <c r="U22" s="382">
        <f t="shared" si="7"/>
        <v>0</v>
      </c>
      <c r="V22" s="382">
        <f t="shared" si="7"/>
        <v>0</v>
      </c>
      <c r="W22" s="382">
        <f t="shared" si="7"/>
        <v>0</v>
      </c>
      <c r="X22" s="382">
        <f t="shared" si="7"/>
        <v>0</v>
      </c>
      <c r="Y22" s="382">
        <f t="shared" si="7"/>
        <v>0</v>
      </c>
      <c r="Z22" s="382">
        <f t="shared" si="7"/>
        <v>0</v>
      </c>
      <c r="AA22" s="382">
        <f t="shared" si="7"/>
        <v>0</v>
      </c>
      <c r="AB22" s="382">
        <f t="shared" si="7"/>
        <v>0</v>
      </c>
      <c r="AC22" s="382">
        <f t="shared" si="7"/>
        <v>0</v>
      </c>
      <c r="AD22" s="382">
        <f t="shared" si="7"/>
        <v>0</v>
      </c>
      <c r="AE22" s="382">
        <f t="shared" si="7"/>
        <v>0</v>
      </c>
      <c r="AF22" s="382">
        <f t="shared" si="7"/>
        <v>0</v>
      </c>
      <c r="AG22" s="382">
        <f t="shared" si="7"/>
        <v>0</v>
      </c>
      <c r="AH22" s="382">
        <f t="shared" si="7"/>
        <v>0</v>
      </c>
      <c r="AI22" s="382">
        <f t="shared" si="7"/>
        <v>0</v>
      </c>
      <c r="AJ22" s="382">
        <f t="shared" si="7"/>
        <v>0</v>
      </c>
      <c r="AK22" s="382">
        <f t="shared" si="7"/>
        <v>0</v>
      </c>
      <c r="AL22" s="383" t="e">
        <v>#REF!</v>
      </c>
      <c r="AM22" s="384"/>
    </row>
    <row r="23" spans="1:42" s="29" customFormat="1" ht="12.75">
      <c r="A23" s="365"/>
      <c r="B23" s="385" t="s">
        <v>217</v>
      </c>
      <c r="C23" s="29" t="s">
        <v>286</v>
      </c>
      <c r="E23" s="33" t="s">
        <v>133</v>
      </c>
      <c r="F23" s="381">
        <f t="shared" si="6"/>
        <v>46953.078318372311</v>
      </c>
      <c r="G23" s="331">
        <f t="shared" ref="G23:G26" si="8">SUM(H23:AK23)</f>
        <v>60000</v>
      </c>
      <c r="H23" s="386">
        <f>H9</f>
        <v>0</v>
      </c>
      <c r="I23" s="386">
        <f t="shared" ref="I23:AK23" si="9">I9</f>
        <v>2000</v>
      </c>
      <c r="J23" s="386">
        <f t="shared" si="9"/>
        <v>2000</v>
      </c>
      <c r="K23" s="386">
        <f t="shared" si="9"/>
        <v>2000</v>
      </c>
      <c r="L23" s="386">
        <f t="shared" si="9"/>
        <v>22000</v>
      </c>
      <c r="M23" s="386">
        <f t="shared" si="9"/>
        <v>2000</v>
      </c>
      <c r="N23" s="386">
        <f t="shared" si="9"/>
        <v>2000</v>
      </c>
      <c r="O23" s="386">
        <f t="shared" si="9"/>
        <v>1000</v>
      </c>
      <c r="P23" s="386">
        <f t="shared" si="9"/>
        <v>1000</v>
      </c>
      <c r="Q23" s="386">
        <f t="shared" si="9"/>
        <v>21000</v>
      </c>
      <c r="R23" s="386">
        <f t="shared" si="9"/>
        <v>1000</v>
      </c>
      <c r="S23" s="386">
        <f t="shared" si="9"/>
        <v>1000</v>
      </c>
      <c r="T23" s="386">
        <f t="shared" si="9"/>
        <v>1000</v>
      </c>
      <c r="U23" s="386">
        <f t="shared" si="9"/>
        <v>1000</v>
      </c>
      <c r="V23" s="386">
        <f t="shared" si="9"/>
        <v>1000</v>
      </c>
      <c r="W23" s="386">
        <f t="shared" si="9"/>
        <v>0</v>
      </c>
      <c r="X23" s="386">
        <f t="shared" si="9"/>
        <v>0</v>
      </c>
      <c r="Y23" s="386">
        <f t="shared" si="9"/>
        <v>0</v>
      </c>
      <c r="Z23" s="386">
        <f t="shared" si="9"/>
        <v>0</v>
      </c>
      <c r="AA23" s="386">
        <f t="shared" si="9"/>
        <v>0</v>
      </c>
      <c r="AB23" s="386">
        <f t="shared" si="9"/>
        <v>0</v>
      </c>
      <c r="AC23" s="386">
        <f t="shared" si="9"/>
        <v>0</v>
      </c>
      <c r="AD23" s="386">
        <f t="shared" si="9"/>
        <v>0</v>
      </c>
      <c r="AE23" s="386">
        <f t="shared" si="9"/>
        <v>0</v>
      </c>
      <c r="AF23" s="386">
        <f t="shared" si="9"/>
        <v>0</v>
      </c>
      <c r="AG23" s="386">
        <f t="shared" si="9"/>
        <v>0</v>
      </c>
      <c r="AH23" s="386">
        <f t="shared" si="9"/>
        <v>0</v>
      </c>
      <c r="AI23" s="386">
        <f t="shared" si="9"/>
        <v>0</v>
      </c>
      <c r="AJ23" s="386">
        <f t="shared" si="9"/>
        <v>0</v>
      </c>
      <c r="AK23" s="386">
        <f t="shared" si="9"/>
        <v>0</v>
      </c>
      <c r="AL23" s="383" t="e">
        <v>#REF!</v>
      </c>
    </row>
    <row r="24" spans="1:42" s="343" customFormat="1" ht="12.75">
      <c r="A24" s="324"/>
      <c r="B24" s="385" t="s">
        <v>252</v>
      </c>
      <c r="C24" s="385" t="s">
        <v>293</v>
      </c>
      <c r="D24" s="44"/>
      <c r="E24" s="387" t="s">
        <v>133</v>
      </c>
      <c r="F24" s="381">
        <f t="shared" si="6"/>
        <v>-1252961.5384615385</v>
      </c>
      <c r="G24" s="331">
        <f t="shared" si="8"/>
        <v>-1254000</v>
      </c>
      <c r="H24" s="388">
        <f>'3. DL invest.n.pl.AR pr.'!F25</f>
        <v>-1227000</v>
      </c>
      <c r="I24" s="388">
        <f>'3. DL invest.n.pl.AR pr.'!G25</f>
        <v>-27000</v>
      </c>
      <c r="J24" s="388">
        <f>'3. DL invest.n.pl.AR pr.'!H25</f>
        <v>0</v>
      </c>
      <c r="K24" s="388">
        <f>'3. DL invest.n.pl.AR pr.'!I25</f>
        <v>0</v>
      </c>
      <c r="L24" s="388">
        <f>'3. DL invest.n.pl.AR pr.'!J25</f>
        <v>0</v>
      </c>
      <c r="M24" s="388">
        <f>'3. DL invest.n.pl.AR pr.'!K25</f>
        <v>0</v>
      </c>
      <c r="N24" s="388">
        <f>'3. DL invest.n.pl.AR pr.'!L25</f>
        <v>0</v>
      </c>
      <c r="O24" s="388">
        <f>'3. DL invest.n.pl.AR pr.'!M25</f>
        <v>0</v>
      </c>
      <c r="P24" s="388">
        <f>'3. DL invest.n.pl.AR pr.'!N25</f>
        <v>0</v>
      </c>
      <c r="Q24" s="388">
        <f>'3. DL invest.n.pl.AR pr.'!O25</f>
        <v>0</v>
      </c>
      <c r="R24" s="388">
        <f>'3. DL invest.n.pl.AR pr.'!P25</f>
        <v>0</v>
      </c>
      <c r="S24" s="388">
        <f>'3. DL invest.n.pl.AR pr.'!Q25</f>
        <v>0</v>
      </c>
      <c r="T24" s="388">
        <f>'3. DL invest.n.pl.AR pr.'!R25</f>
        <v>0</v>
      </c>
      <c r="U24" s="388">
        <f>'3. DL invest.n.pl.AR pr.'!S25</f>
        <v>0</v>
      </c>
      <c r="V24" s="388">
        <f>'3. DL invest.n.pl.AR pr.'!T25</f>
        <v>0</v>
      </c>
      <c r="W24" s="388">
        <f>'3. DL invest.n.pl.AR pr.'!U25</f>
        <v>0</v>
      </c>
      <c r="X24" s="388">
        <f>'3. DL invest.n.pl.AR pr.'!V25</f>
        <v>0</v>
      </c>
      <c r="Y24" s="388">
        <f>'3. DL invest.n.pl.AR pr.'!W25</f>
        <v>0</v>
      </c>
      <c r="Z24" s="388">
        <f>'3. DL invest.n.pl.AR pr.'!X25</f>
        <v>0</v>
      </c>
      <c r="AA24" s="388">
        <f>'3. DL invest.n.pl.AR pr.'!Y25</f>
        <v>0</v>
      </c>
      <c r="AB24" s="388">
        <f>'3. DL invest.n.pl.AR pr.'!Z25</f>
        <v>0</v>
      </c>
      <c r="AC24" s="388">
        <f>'3. DL invest.n.pl.AR pr.'!AA25</f>
        <v>0</v>
      </c>
      <c r="AD24" s="388">
        <f>'3. DL invest.n.pl.AR pr.'!AB25</f>
        <v>0</v>
      </c>
      <c r="AE24" s="388">
        <f>'3. DL invest.n.pl.AR pr.'!AC25</f>
        <v>0</v>
      </c>
      <c r="AF24" s="388">
        <f>'3. DL invest.n.pl.AR pr.'!AD25</f>
        <v>0</v>
      </c>
      <c r="AG24" s="388">
        <f>'3. DL invest.n.pl.AR pr.'!AE25</f>
        <v>0</v>
      </c>
      <c r="AH24" s="388">
        <f>'3. DL invest.n.pl.AR pr.'!AF25</f>
        <v>0</v>
      </c>
      <c r="AI24" s="388">
        <f>'3. DL invest.n.pl.AR pr.'!AG25</f>
        <v>0</v>
      </c>
      <c r="AJ24" s="388">
        <f>'3. DL invest.n.pl.AR pr.'!AH25</f>
        <v>0</v>
      </c>
      <c r="AK24" s="388">
        <f>'3. DL invest.n.pl.AR pr.'!AI25</f>
        <v>0</v>
      </c>
      <c r="AM24" s="389"/>
    </row>
    <row r="25" spans="1:42" s="343" customFormat="1" ht="12.75">
      <c r="A25" s="324"/>
      <c r="B25" s="385" t="s">
        <v>294</v>
      </c>
      <c r="C25" s="385" t="s">
        <v>295</v>
      </c>
      <c r="D25" s="44"/>
      <c r="E25" s="387" t="s">
        <v>133</v>
      </c>
      <c r="F25" s="381">
        <f>H25+NPV($F$3,I25:AK25)</f>
        <v>-1252961.5384615385</v>
      </c>
      <c r="G25" s="331">
        <f t="shared" ref="G25" si="10">SUM(H25:AK25)</f>
        <v>-1254000</v>
      </c>
      <c r="H25" s="388">
        <f>'3. DL invest.n.pl.AR pr.'!F26</f>
        <v>-1227000</v>
      </c>
      <c r="I25" s="388">
        <f>'3. DL invest.n.pl.AR pr.'!G26</f>
        <v>-27000</v>
      </c>
      <c r="J25" s="388">
        <f>'3. DL invest.n.pl.AR pr.'!H26</f>
        <v>0</v>
      </c>
      <c r="K25" s="388">
        <f>'3. DL invest.n.pl.AR pr.'!I26</f>
        <v>0</v>
      </c>
      <c r="L25" s="388">
        <f>'3. DL invest.n.pl.AR pr.'!J26</f>
        <v>0</v>
      </c>
      <c r="M25" s="388">
        <f>'3. DL invest.n.pl.AR pr.'!K26</f>
        <v>0</v>
      </c>
      <c r="N25" s="388">
        <f>'3. DL invest.n.pl.AR pr.'!L26</f>
        <v>0</v>
      </c>
      <c r="O25" s="388">
        <f>'3. DL invest.n.pl.AR pr.'!M26</f>
        <v>0</v>
      </c>
      <c r="P25" s="388">
        <f>'3. DL invest.n.pl.AR pr.'!N26</f>
        <v>0</v>
      </c>
      <c r="Q25" s="388">
        <f>'3. DL invest.n.pl.AR pr.'!O26</f>
        <v>0</v>
      </c>
      <c r="R25" s="388">
        <f>'3. DL invest.n.pl.AR pr.'!P26</f>
        <v>0</v>
      </c>
      <c r="S25" s="388">
        <f>'3. DL invest.n.pl.AR pr.'!Q26</f>
        <v>0</v>
      </c>
      <c r="T25" s="388">
        <f>'3. DL invest.n.pl.AR pr.'!R26</f>
        <v>0</v>
      </c>
      <c r="U25" s="388">
        <f>'3. DL invest.n.pl.AR pr.'!S26</f>
        <v>0</v>
      </c>
      <c r="V25" s="388">
        <f>'3. DL invest.n.pl.AR pr.'!T26</f>
        <v>0</v>
      </c>
      <c r="W25" s="388">
        <f>'3. DL invest.n.pl.AR pr.'!U26</f>
        <v>0</v>
      </c>
      <c r="X25" s="388">
        <f>'3. DL invest.n.pl.AR pr.'!V26</f>
        <v>0</v>
      </c>
      <c r="Y25" s="388">
        <f>'3. DL invest.n.pl.AR pr.'!W26</f>
        <v>0</v>
      </c>
      <c r="Z25" s="388">
        <f>'3. DL invest.n.pl.AR pr.'!X26</f>
        <v>0</v>
      </c>
      <c r="AA25" s="388">
        <f>'3. DL invest.n.pl.AR pr.'!Y26</f>
        <v>0</v>
      </c>
      <c r="AB25" s="388">
        <f>'3. DL invest.n.pl.AR pr.'!Z26</f>
        <v>0</v>
      </c>
      <c r="AC25" s="388">
        <f>'3. DL invest.n.pl.AR pr.'!AA26</f>
        <v>0</v>
      </c>
      <c r="AD25" s="388">
        <f>'3. DL invest.n.pl.AR pr.'!AB26</f>
        <v>0</v>
      </c>
      <c r="AE25" s="388">
        <f>'3. DL invest.n.pl.AR pr.'!AC26</f>
        <v>0</v>
      </c>
      <c r="AF25" s="388">
        <f>'3. DL invest.n.pl.AR pr.'!AD26</f>
        <v>0</v>
      </c>
      <c r="AG25" s="388">
        <f>'3. DL invest.n.pl.AR pr.'!AE26</f>
        <v>0</v>
      </c>
      <c r="AH25" s="388">
        <f>'3. DL invest.n.pl.AR pr.'!AF26</f>
        <v>0</v>
      </c>
      <c r="AI25" s="388">
        <f>'3. DL invest.n.pl.AR pr.'!AG26</f>
        <v>0</v>
      </c>
      <c r="AJ25" s="388">
        <f>'3. DL invest.n.pl.AR pr.'!AH26</f>
        <v>0</v>
      </c>
      <c r="AK25" s="388">
        <f>'3. DL invest.n.pl.AR pr.'!AI26</f>
        <v>0</v>
      </c>
      <c r="AL25" s="389"/>
      <c r="AM25" s="389"/>
    </row>
    <row r="26" spans="1:42" s="325" customFormat="1" ht="12.75">
      <c r="A26" s="390"/>
      <c r="B26" s="29" t="s">
        <v>253</v>
      </c>
      <c r="C26" s="385" t="s">
        <v>223</v>
      </c>
      <c r="D26" s="385"/>
      <c r="E26" s="33" t="s">
        <v>133</v>
      </c>
      <c r="F26" s="381">
        <f t="shared" si="6"/>
        <v>46198.006625744456</v>
      </c>
      <c r="G26" s="331">
        <f t="shared" si="8"/>
        <v>80000</v>
      </c>
      <c r="H26" s="386">
        <f t="shared" ref="H26:AK26" si="11">H8</f>
        <v>0</v>
      </c>
      <c r="I26" s="386">
        <f t="shared" si="11"/>
        <v>0</v>
      </c>
      <c r="J26" s="386">
        <f t="shared" si="11"/>
        <v>0</v>
      </c>
      <c r="K26" s="386">
        <f t="shared" si="11"/>
        <v>0</v>
      </c>
      <c r="L26" s="386">
        <f t="shared" si="11"/>
        <v>0</v>
      </c>
      <c r="M26" s="386">
        <f t="shared" si="11"/>
        <v>0</v>
      </c>
      <c r="N26" s="386">
        <f t="shared" si="11"/>
        <v>0</v>
      </c>
      <c r="O26" s="386">
        <f t="shared" si="11"/>
        <v>0</v>
      </c>
      <c r="P26" s="386">
        <f t="shared" si="11"/>
        <v>0</v>
      </c>
      <c r="Q26" s="386">
        <f t="shared" si="11"/>
        <v>0</v>
      </c>
      <c r="R26" s="386">
        <f t="shared" si="11"/>
        <v>0</v>
      </c>
      <c r="S26" s="386">
        <f t="shared" si="11"/>
        <v>0</v>
      </c>
      <c r="T26" s="386">
        <f t="shared" si="11"/>
        <v>0</v>
      </c>
      <c r="U26" s="386">
        <f t="shared" si="11"/>
        <v>0</v>
      </c>
      <c r="V26" s="386">
        <f t="shared" si="11"/>
        <v>80000</v>
      </c>
      <c r="W26" s="386">
        <f t="shared" si="11"/>
        <v>0</v>
      </c>
      <c r="X26" s="386">
        <f t="shared" si="11"/>
        <v>0</v>
      </c>
      <c r="Y26" s="386">
        <f t="shared" si="11"/>
        <v>0</v>
      </c>
      <c r="Z26" s="386">
        <f t="shared" si="11"/>
        <v>0</v>
      </c>
      <c r="AA26" s="386">
        <f t="shared" si="11"/>
        <v>0</v>
      </c>
      <c r="AB26" s="386">
        <f t="shared" si="11"/>
        <v>0</v>
      </c>
      <c r="AC26" s="386">
        <f t="shared" si="11"/>
        <v>0</v>
      </c>
      <c r="AD26" s="386">
        <f t="shared" si="11"/>
        <v>0</v>
      </c>
      <c r="AE26" s="386">
        <f t="shared" si="11"/>
        <v>0</v>
      </c>
      <c r="AF26" s="386">
        <f t="shared" si="11"/>
        <v>0</v>
      </c>
      <c r="AG26" s="386">
        <f t="shared" si="11"/>
        <v>0</v>
      </c>
      <c r="AH26" s="386">
        <f t="shared" si="11"/>
        <v>0</v>
      </c>
      <c r="AI26" s="386">
        <f t="shared" si="11"/>
        <v>0</v>
      </c>
      <c r="AJ26" s="386">
        <f t="shared" si="11"/>
        <v>0</v>
      </c>
      <c r="AK26" s="386">
        <f t="shared" si="11"/>
        <v>0</v>
      </c>
      <c r="AL26" s="391"/>
    </row>
    <row r="27" spans="1:42" s="325" customFormat="1" ht="12.75">
      <c r="A27" s="390"/>
      <c r="B27" s="29" t="s">
        <v>254</v>
      </c>
      <c r="C27" s="29" t="s">
        <v>200</v>
      </c>
      <c r="D27" s="29"/>
      <c r="E27" s="33" t="s">
        <v>133</v>
      </c>
      <c r="F27" s="381">
        <f>H27+NPV($F$3,I27:AK27)</f>
        <v>-1159810.4535174216</v>
      </c>
      <c r="G27" s="331">
        <f>SUM(H27:AK27)</f>
        <v>-1114000</v>
      </c>
      <c r="H27" s="392">
        <f>H22+H23+H24+H26</f>
        <v>-1227000</v>
      </c>
      <c r="I27" s="392">
        <f>I22+I23+I24+I26</f>
        <v>-25000</v>
      </c>
      <c r="J27" s="392">
        <f t="shared" ref="J27:AK27" si="12">J22+J23+J24+J26</f>
        <v>2000</v>
      </c>
      <c r="K27" s="392">
        <f t="shared" si="12"/>
        <v>2000</v>
      </c>
      <c r="L27" s="392">
        <f t="shared" si="12"/>
        <v>22000</v>
      </c>
      <c r="M27" s="392">
        <f t="shared" si="12"/>
        <v>2000</v>
      </c>
      <c r="N27" s="392">
        <f t="shared" si="12"/>
        <v>2000</v>
      </c>
      <c r="O27" s="392">
        <f t="shared" si="12"/>
        <v>1000</v>
      </c>
      <c r="P27" s="392">
        <f t="shared" si="12"/>
        <v>1000</v>
      </c>
      <c r="Q27" s="392">
        <f t="shared" si="12"/>
        <v>21000</v>
      </c>
      <c r="R27" s="392">
        <f t="shared" si="12"/>
        <v>1000</v>
      </c>
      <c r="S27" s="392">
        <f t="shared" si="12"/>
        <v>1000</v>
      </c>
      <c r="T27" s="392">
        <f t="shared" si="12"/>
        <v>1000</v>
      </c>
      <c r="U27" s="392">
        <f t="shared" si="12"/>
        <v>1000</v>
      </c>
      <c r="V27" s="392">
        <f t="shared" si="12"/>
        <v>81000</v>
      </c>
      <c r="W27" s="392">
        <f t="shared" si="12"/>
        <v>0</v>
      </c>
      <c r="X27" s="392">
        <f t="shared" si="12"/>
        <v>0</v>
      </c>
      <c r="Y27" s="392">
        <f t="shared" si="12"/>
        <v>0</v>
      </c>
      <c r="Z27" s="392">
        <f t="shared" si="12"/>
        <v>0</v>
      </c>
      <c r="AA27" s="392">
        <f t="shared" si="12"/>
        <v>0</v>
      </c>
      <c r="AB27" s="392">
        <f t="shared" si="12"/>
        <v>0</v>
      </c>
      <c r="AC27" s="392">
        <f t="shared" si="12"/>
        <v>0</v>
      </c>
      <c r="AD27" s="392">
        <f t="shared" si="12"/>
        <v>0</v>
      </c>
      <c r="AE27" s="392">
        <f t="shared" si="12"/>
        <v>0</v>
      </c>
      <c r="AF27" s="392">
        <f t="shared" si="12"/>
        <v>0</v>
      </c>
      <c r="AG27" s="392">
        <f t="shared" si="12"/>
        <v>0</v>
      </c>
      <c r="AH27" s="392">
        <f t="shared" si="12"/>
        <v>0</v>
      </c>
      <c r="AI27" s="392">
        <f t="shared" si="12"/>
        <v>0</v>
      </c>
      <c r="AJ27" s="392">
        <f t="shared" si="12"/>
        <v>0</v>
      </c>
      <c r="AK27" s="392">
        <f t="shared" si="12"/>
        <v>0</v>
      </c>
      <c r="AL27" s="391"/>
    </row>
    <row r="28" spans="1:42">
      <c r="A28" s="29"/>
      <c r="B28" s="29"/>
      <c r="C28" s="29"/>
      <c r="D28" s="29"/>
      <c r="E28" s="33"/>
      <c r="F28" s="33"/>
      <c r="G28" s="33"/>
      <c r="H28" s="33"/>
      <c r="I28" s="371"/>
      <c r="J28" s="325"/>
      <c r="K28" s="371"/>
      <c r="L28" s="325"/>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68">
        <v>4</v>
      </c>
      <c r="B29" s="269" t="s">
        <v>270</v>
      </c>
      <c r="C29" s="269"/>
      <c r="D29" s="269"/>
      <c r="E29" s="269"/>
      <c r="F29" s="269"/>
      <c r="G29" s="269"/>
      <c r="H29" s="269"/>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row>
    <row r="30" spans="1:42">
      <c r="A30" s="360"/>
      <c r="B30" s="361" t="s">
        <v>222</v>
      </c>
      <c r="C30" s="361" t="s">
        <v>296</v>
      </c>
      <c r="D30" s="361"/>
      <c r="E30" s="372"/>
      <c r="F30" s="326"/>
      <c r="G30" s="326"/>
      <c r="H30" s="326"/>
      <c r="I30" s="373">
        <f>F27</f>
        <v>-1159810.4535174216</v>
      </c>
      <c r="J30" s="29"/>
      <c r="K30" s="29"/>
      <c r="L30" s="29"/>
      <c r="M30" s="29"/>
      <c r="N30" s="29"/>
      <c r="O30" s="29"/>
      <c r="P30" s="374"/>
      <c r="Q30" s="29"/>
      <c r="R30" s="29"/>
      <c r="S30" s="29"/>
      <c r="T30" s="29"/>
      <c r="U30" s="29"/>
      <c r="V30" s="29"/>
      <c r="W30" s="29"/>
      <c r="X30" s="29"/>
      <c r="Y30" s="29"/>
      <c r="Z30" s="29"/>
      <c r="AA30" s="29"/>
      <c r="AB30" s="29"/>
      <c r="AC30" s="29"/>
      <c r="AD30" s="29"/>
      <c r="AE30" s="29"/>
      <c r="AF30" s="29"/>
      <c r="AG30" s="29"/>
      <c r="AH30" s="29"/>
      <c r="AI30" s="29"/>
      <c r="AJ30" s="29"/>
      <c r="AK30" s="29"/>
    </row>
    <row r="31" spans="1:42">
      <c r="A31" s="375"/>
      <c r="B31" s="356" t="s">
        <v>260</v>
      </c>
      <c r="C31" s="356" t="s">
        <v>297</v>
      </c>
      <c r="D31" s="356"/>
      <c r="E31" s="336"/>
      <c r="F31" s="326"/>
      <c r="G31" s="326"/>
      <c r="H31" s="326"/>
      <c r="I31" s="376">
        <f>IRR(H27:AK27,K31)</f>
        <v>-0.16690499807224868</v>
      </c>
      <c r="J31" s="29"/>
      <c r="K31" s="43">
        <v>-0.5</v>
      </c>
      <c r="L31" s="29" t="s">
        <v>298</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68"/>
      <c r="B32" s="269"/>
      <c r="C32" s="269"/>
      <c r="D32" s="269"/>
      <c r="E32" s="269"/>
      <c r="F32" s="269"/>
      <c r="G32" s="269"/>
      <c r="H32" s="269"/>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row>
    <row r="33" spans="1:37" ht="21">
      <c r="A33" s="572" t="s">
        <v>299</v>
      </c>
      <c r="B33" s="572"/>
      <c r="C33" s="572"/>
      <c r="D33" s="572"/>
      <c r="E33" s="572"/>
      <c r="F33" s="572"/>
      <c r="G33" s="572"/>
      <c r="H33" s="572"/>
      <c r="I33" s="572"/>
      <c r="J33" s="572"/>
      <c r="K33" s="572"/>
    </row>
    <row r="34" spans="1:37">
      <c r="A34" s="378"/>
      <c r="B34" s="288"/>
      <c r="C34" s="192"/>
      <c r="D34" s="192"/>
      <c r="E34" s="289"/>
      <c r="F34" s="512" t="s">
        <v>245</v>
      </c>
      <c r="G34" s="290"/>
      <c r="H34" s="290">
        <f>H20</f>
        <v>1</v>
      </c>
      <c r="I34" s="290">
        <f t="shared" ref="I34:AK34" si="13">I20</f>
        <v>2</v>
      </c>
      <c r="J34" s="290">
        <f t="shared" si="13"/>
        <v>3</v>
      </c>
      <c r="K34" s="290">
        <f t="shared" si="13"/>
        <v>4</v>
      </c>
      <c r="L34" s="290">
        <f t="shared" si="13"/>
        <v>5</v>
      </c>
      <c r="M34" s="290">
        <f t="shared" si="13"/>
        <v>6</v>
      </c>
      <c r="N34" s="290">
        <f t="shared" si="13"/>
        <v>7</v>
      </c>
      <c r="O34" s="290">
        <f t="shared" si="13"/>
        <v>8</v>
      </c>
      <c r="P34" s="290">
        <f t="shared" si="13"/>
        <v>9</v>
      </c>
      <c r="Q34" s="290">
        <f t="shared" si="13"/>
        <v>10</v>
      </c>
      <c r="R34" s="290">
        <f t="shared" si="13"/>
        <v>11</v>
      </c>
      <c r="S34" s="290">
        <f t="shared" si="13"/>
        <v>12</v>
      </c>
      <c r="T34" s="290">
        <f t="shared" si="13"/>
        <v>13</v>
      </c>
      <c r="U34" s="290">
        <f t="shared" si="13"/>
        <v>14</v>
      </c>
      <c r="V34" s="290">
        <f t="shared" si="13"/>
        <v>15</v>
      </c>
      <c r="W34" s="290">
        <f t="shared" si="13"/>
        <v>16</v>
      </c>
      <c r="X34" s="290">
        <f t="shared" si="13"/>
        <v>17</v>
      </c>
      <c r="Y34" s="290">
        <f t="shared" si="13"/>
        <v>18</v>
      </c>
      <c r="Z34" s="290">
        <f t="shared" si="13"/>
        <v>19</v>
      </c>
      <c r="AA34" s="290">
        <f t="shared" si="13"/>
        <v>20</v>
      </c>
      <c r="AB34" s="290">
        <f t="shared" si="13"/>
        <v>21</v>
      </c>
      <c r="AC34" s="290">
        <f t="shared" si="13"/>
        <v>22</v>
      </c>
      <c r="AD34" s="290">
        <f t="shared" si="13"/>
        <v>23</v>
      </c>
      <c r="AE34" s="290">
        <f t="shared" si="13"/>
        <v>24</v>
      </c>
      <c r="AF34" s="290">
        <f t="shared" si="13"/>
        <v>25</v>
      </c>
      <c r="AG34" s="290">
        <f t="shared" si="13"/>
        <v>26</v>
      </c>
      <c r="AH34" s="290">
        <f t="shared" si="13"/>
        <v>27</v>
      </c>
      <c r="AI34" s="290">
        <f t="shared" si="13"/>
        <v>28</v>
      </c>
      <c r="AJ34" s="290">
        <f t="shared" si="13"/>
        <v>29</v>
      </c>
      <c r="AK34" s="290">
        <f t="shared" si="13"/>
        <v>30</v>
      </c>
    </row>
    <row r="35" spans="1:37">
      <c r="A35" s="358">
        <v>5</v>
      </c>
      <c r="B35" s="314" t="s">
        <v>191</v>
      </c>
      <c r="C35" s="314"/>
      <c r="D35" s="203"/>
      <c r="E35" s="204" t="s">
        <v>189</v>
      </c>
      <c r="F35" s="359" t="s">
        <v>190</v>
      </c>
      <c r="G35" s="359" t="s">
        <v>190</v>
      </c>
      <c r="H35" s="291">
        <f>H21</f>
        <v>2024</v>
      </c>
      <c r="I35" s="291">
        <f t="shared" ref="I35:AK35" si="14">I21</f>
        <v>2025</v>
      </c>
      <c r="J35" s="291">
        <f t="shared" si="14"/>
        <v>2026</v>
      </c>
      <c r="K35" s="291">
        <f t="shared" si="14"/>
        <v>2027</v>
      </c>
      <c r="L35" s="291">
        <f t="shared" si="14"/>
        <v>2028</v>
      </c>
      <c r="M35" s="291">
        <f t="shared" si="14"/>
        <v>2029</v>
      </c>
      <c r="N35" s="291">
        <f t="shared" si="14"/>
        <v>2030</v>
      </c>
      <c r="O35" s="291">
        <f t="shared" si="14"/>
        <v>2031</v>
      </c>
      <c r="P35" s="291">
        <f t="shared" si="14"/>
        <v>2032</v>
      </c>
      <c r="Q35" s="291">
        <f t="shared" si="14"/>
        <v>2033</v>
      </c>
      <c r="R35" s="291">
        <f t="shared" si="14"/>
        <v>2034</v>
      </c>
      <c r="S35" s="291">
        <f t="shared" si="14"/>
        <v>2035</v>
      </c>
      <c r="T35" s="291">
        <f t="shared" si="14"/>
        <v>2036</v>
      </c>
      <c r="U35" s="291">
        <f t="shared" si="14"/>
        <v>2037</v>
      </c>
      <c r="V35" s="291">
        <f t="shared" si="14"/>
        <v>2038</v>
      </c>
      <c r="W35" s="291">
        <f t="shared" si="14"/>
        <v>2039</v>
      </c>
      <c r="X35" s="291">
        <f t="shared" si="14"/>
        <v>2040</v>
      </c>
      <c r="Y35" s="291">
        <f t="shared" si="14"/>
        <v>2041</v>
      </c>
      <c r="Z35" s="291">
        <f t="shared" si="14"/>
        <v>2042</v>
      </c>
      <c r="AA35" s="291">
        <f t="shared" si="14"/>
        <v>2043</v>
      </c>
      <c r="AB35" s="291">
        <f t="shared" si="14"/>
        <v>2044</v>
      </c>
      <c r="AC35" s="291">
        <f t="shared" si="14"/>
        <v>2045</v>
      </c>
      <c r="AD35" s="291">
        <f t="shared" si="14"/>
        <v>2046</v>
      </c>
      <c r="AE35" s="291">
        <f t="shared" si="14"/>
        <v>2047</v>
      </c>
      <c r="AF35" s="291">
        <f t="shared" si="14"/>
        <v>2048</v>
      </c>
      <c r="AG35" s="291">
        <f t="shared" si="14"/>
        <v>2049</v>
      </c>
      <c r="AH35" s="291">
        <f t="shared" si="14"/>
        <v>2050</v>
      </c>
      <c r="AI35" s="291">
        <f t="shared" si="14"/>
        <v>2051</v>
      </c>
      <c r="AJ35" s="291">
        <f t="shared" si="14"/>
        <v>2052</v>
      </c>
      <c r="AK35" s="291">
        <f t="shared" si="14"/>
        <v>2053</v>
      </c>
    </row>
    <row r="36" spans="1:37" ht="36.75" customHeight="1">
      <c r="A36" s="324"/>
      <c r="B36" s="385" t="s">
        <v>264</v>
      </c>
      <c r="C36" s="573" t="s">
        <v>300</v>
      </c>
      <c r="D36" s="573"/>
      <c r="E36" s="387" t="s">
        <v>133</v>
      </c>
      <c r="F36" s="400">
        <f>H36+NPV($F$3,I36:Q36)</f>
        <v>0</v>
      </c>
      <c r="G36" s="513">
        <f>SUM(H36:Q36)</f>
        <v>0</v>
      </c>
      <c r="H36" s="514">
        <f>'1.1.B. Iesniedzējs'!H29+'1.1.B. Iesniedzējs'!I29+'1.2.1.B. Partneris-1'!H29+'1.2.1.B. Partneris-1'!I29+'1.2.2.B. Partneris-2'!H29+'1.2.2.B. Partneris-2'!I29</f>
        <v>0</v>
      </c>
      <c r="I36" s="514">
        <f>'1.1.B. Iesniedzējs'!J29+'1.1.B. Iesniedzējs'!K29+'1.2.1.B. Partneris-1'!J29+'1.2.1.B. Partneris-1'!K29+'1.2.2.B. Partneris-2'!J29+'1.2.2.B. Partneris-2'!K29</f>
        <v>0</v>
      </c>
      <c r="J36" s="514">
        <f>'1.1.B. Iesniedzējs'!L29+'1.1.B. Iesniedzējs'!M29+'1.2.1.B. Partneris-1'!L29+'1.2.1.B. Partneris-1'!M29+'1.2.2.B. Partneris-2'!L29+'1.2.2.B. Partneris-2'!M29</f>
        <v>0</v>
      </c>
      <c r="K36" s="514">
        <f>'1.1.B. Iesniedzējs'!N29+'1.1.B. Iesniedzējs'!O29+'1.2.1.B. Partneris-1'!N29+'1.2.1.B. Partneris-1'!O29+'1.2.2.B. Partneris-2'!N29+'1.2.2.B. Partneris-2'!O29</f>
        <v>0</v>
      </c>
      <c r="L36" s="514">
        <f>'1.1.B. Iesniedzējs'!P29+'1.1.B. Iesniedzējs'!Q29+'1.2.1.B. Partneris-1'!P29+'1.2.1.B. Partneris-1'!Q29+'1.2.2.B. Partneris-2'!P29+'1.2.2.B. Partneris-2'!Q29</f>
        <v>0</v>
      </c>
      <c r="M36" s="514">
        <f>'1.1.B. Iesniedzējs'!R29+'1.1.B. Iesniedzējs'!S29+'1.2.1.B. Partneris-1'!R29+'1.2.1.B. Partneris-1'!S29+'1.2.2.B. Partneris-2'!R29+'1.2.2.B. Partneris-2'!S29</f>
        <v>0</v>
      </c>
      <c r="N36" s="514">
        <f>'1.1.B. Iesniedzējs'!T29+'1.1.B. Iesniedzējs'!U29+'1.2.1.B. Partneris-1'!T29+'1.2.1.B. Partneris-1'!U29+'1.2.2.B. Partneris-2'!T29+'1.2.2.B. Partneris-2'!U29</f>
        <v>0</v>
      </c>
      <c r="O36" s="514">
        <f>'1.1.B. Iesniedzējs'!V29+'1.1.B. Iesniedzējs'!W29+'1.2.1.B. Partneris-1'!V29+'1.2.1.B. Partneris-1'!W29+'1.2.2.B. Partneris-2'!V29+'1.2.2.B. Partneris-2'!W29</f>
        <v>0</v>
      </c>
      <c r="P36" s="514">
        <f>'1.1.B. Iesniedzējs'!X29+'1.1.B. Iesniedzējs'!Y29+'1.2.1.B. Partneris-1'!X29+'1.2.1.B. Partneris-1'!Y29+'1.2.2.B. Partneris-2'!X29+'1.2.2.B. Partneris-2'!Y29</f>
        <v>0</v>
      </c>
      <c r="Q36" s="514">
        <v>0</v>
      </c>
      <c r="R36" s="514">
        <v>0</v>
      </c>
      <c r="S36" s="514">
        <v>0</v>
      </c>
      <c r="T36" s="514">
        <v>0</v>
      </c>
      <c r="U36" s="514">
        <v>0</v>
      </c>
      <c r="V36" s="514">
        <v>0</v>
      </c>
      <c r="W36" s="514">
        <v>0</v>
      </c>
      <c r="X36" s="514">
        <v>0</v>
      </c>
      <c r="Y36" s="514">
        <v>0</v>
      </c>
      <c r="Z36" s="514">
        <v>0</v>
      </c>
      <c r="AA36" s="514">
        <v>0</v>
      </c>
      <c r="AB36" s="514">
        <v>0</v>
      </c>
      <c r="AC36" s="514">
        <v>0</v>
      </c>
      <c r="AD36" s="514">
        <v>0</v>
      </c>
      <c r="AE36" s="514">
        <v>0</v>
      </c>
      <c r="AF36" s="514">
        <v>0</v>
      </c>
      <c r="AG36" s="514">
        <v>0</v>
      </c>
      <c r="AH36" s="514">
        <v>0</v>
      </c>
      <c r="AI36" s="514">
        <v>0</v>
      </c>
      <c r="AJ36" s="514">
        <v>0</v>
      </c>
      <c r="AK36" s="514">
        <v>0</v>
      </c>
    </row>
    <row r="37" spans="1:37">
      <c r="A37" s="268"/>
      <c r="B37" s="269"/>
      <c r="C37" s="269"/>
      <c r="D37" s="269"/>
      <c r="E37" s="269"/>
      <c r="F37" s="269"/>
      <c r="G37" s="269"/>
      <c r="H37" s="269"/>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row>
  </sheetData>
  <sheetProtection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8" t="s">
        <v>301</v>
      </c>
      <c r="B1" s="548"/>
      <c r="C1" s="548"/>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0" t="s">
        <v>302</v>
      </c>
      <c r="B2" s="570"/>
      <c r="C2" s="570"/>
      <c r="D2" s="570"/>
      <c r="E2" s="570"/>
      <c r="F2" s="570"/>
      <c r="G2" s="570"/>
      <c r="H2" s="570"/>
      <c r="I2" s="570"/>
      <c r="J2" s="570"/>
      <c r="K2" s="57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3">
        <f>'5.DL soc.econom. analīze'!C3</f>
        <v>0.05</v>
      </c>
      <c r="D3" s="393"/>
    </row>
    <row r="4" spans="1:81" s="3" customFormat="1"/>
    <row r="5" spans="1:81" s="195" customFormat="1" ht="15.75">
      <c r="A5" s="321"/>
      <c r="B5" s="198"/>
      <c r="C5" s="198"/>
      <c r="D5" s="198"/>
      <c r="E5" s="322" t="s">
        <v>245</v>
      </c>
      <c r="F5" s="323"/>
      <c r="G5" s="200">
        <f>'4.DL Finansiālā ilgtspēja'!E3</f>
        <v>1</v>
      </c>
      <c r="H5" s="200">
        <f>'4.DL Finansiālā ilgtspēja'!F3</f>
        <v>2</v>
      </c>
      <c r="I5" s="200">
        <f>'4.DL Finansiālā ilgtspēja'!G3</f>
        <v>3</v>
      </c>
      <c r="J5" s="200">
        <f>'4.DL Finansiālā ilgtspēja'!H3</f>
        <v>4</v>
      </c>
      <c r="K5" s="200">
        <f>'4.DL Finansiālā ilgtspēja'!I3</f>
        <v>5</v>
      </c>
      <c r="L5" s="200">
        <f>'4.DL Finansiālā ilgtspēja'!J3</f>
        <v>6</v>
      </c>
      <c r="M5" s="200">
        <f>'4.DL Finansiālā ilgtspēja'!K3</f>
        <v>7</v>
      </c>
      <c r="N5" s="200">
        <f>'4.DL Finansiālā ilgtspēja'!L3</f>
        <v>8</v>
      </c>
      <c r="O5" s="200">
        <f>'4.DL Finansiālā ilgtspēja'!M3</f>
        <v>9</v>
      </c>
      <c r="P5" s="200">
        <f>'4.DL Finansiālā ilgtspēja'!N3</f>
        <v>10</v>
      </c>
      <c r="Q5" s="200">
        <f>'4.DL Finansiālā ilgtspēja'!O3</f>
        <v>11</v>
      </c>
      <c r="R5" s="200">
        <f>'4.DL Finansiālā ilgtspēja'!P3</f>
        <v>12</v>
      </c>
      <c r="S5" s="200">
        <f>'4.DL Finansiālā ilgtspēja'!Q3</f>
        <v>13</v>
      </c>
      <c r="T5" s="200">
        <f>'4.DL Finansiālā ilgtspēja'!R3</f>
        <v>14</v>
      </c>
      <c r="U5" s="200">
        <f>'4.DL Finansiālā ilgtspēja'!S3</f>
        <v>15</v>
      </c>
      <c r="V5" s="200">
        <f>'4.DL Finansiālā ilgtspēja'!T3</f>
        <v>16</v>
      </c>
      <c r="W5" s="200">
        <f>'4.DL Finansiālā ilgtspēja'!U3</f>
        <v>17</v>
      </c>
      <c r="X5" s="200">
        <f>'4.DL Finansiālā ilgtspēja'!V3</f>
        <v>18</v>
      </c>
      <c r="Y5" s="200">
        <f>'4.DL Finansiālā ilgtspēja'!W3</f>
        <v>19</v>
      </c>
      <c r="Z5" s="200">
        <f>'4.DL Finansiālā ilgtspēja'!X3</f>
        <v>20</v>
      </c>
      <c r="AA5" s="200">
        <f>'4.DL Finansiālā ilgtspēja'!Y3</f>
        <v>21</v>
      </c>
      <c r="AB5" s="200">
        <f>'4.DL Finansiālā ilgtspēja'!Z3</f>
        <v>22</v>
      </c>
      <c r="AC5" s="200">
        <f>'4.DL Finansiālā ilgtspēja'!AA3</f>
        <v>23</v>
      </c>
      <c r="AD5" s="200">
        <f>'4.DL Finansiālā ilgtspēja'!AB3</f>
        <v>24</v>
      </c>
      <c r="AE5" s="200">
        <f>'4.DL Finansiālā ilgtspēja'!AC3</f>
        <v>25</v>
      </c>
      <c r="AF5" s="200">
        <f>'4.DL Finansiālā ilgtspēja'!AD3</f>
        <v>26</v>
      </c>
      <c r="AG5" s="200">
        <f>'4.DL Finansiālā ilgtspēja'!AE3</f>
        <v>27</v>
      </c>
      <c r="AH5" s="200">
        <f>'4.DL Finansiālā ilgtspēja'!AF3</f>
        <v>28</v>
      </c>
      <c r="AI5" s="200">
        <f>'4.DL Finansiālā ilgtspēja'!AG3</f>
        <v>29</v>
      </c>
      <c r="AJ5" s="20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5" customFormat="1">
      <c r="A6" s="264"/>
      <c r="B6" s="197"/>
      <c r="C6" s="197" t="s">
        <v>246</v>
      </c>
      <c r="D6" s="322" t="s">
        <v>303</v>
      </c>
      <c r="E6" s="322" t="s">
        <v>190</v>
      </c>
      <c r="F6" s="322" t="s">
        <v>190</v>
      </c>
      <c r="G6" s="200">
        <f>'4.DL Finansiālā ilgtspēja'!E4</f>
        <v>2024</v>
      </c>
      <c r="H6" s="200">
        <f>'4.DL Finansiālā ilgtspēja'!F4</f>
        <v>2025</v>
      </c>
      <c r="I6" s="200">
        <f>'4.DL Finansiālā ilgtspēja'!G4</f>
        <v>2026</v>
      </c>
      <c r="J6" s="200">
        <f>'4.DL Finansiālā ilgtspēja'!H4</f>
        <v>2027</v>
      </c>
      <c r="K6" s="200">
        <f>'4.DL Finansiālā ilgtspēja'!I4</f>
        <v>2028</v>
      </c>
      <c r="L6" s="200">
        <f>'4.DL Finansiālā ilgtspēja'!J4</f>
        <v>2029</v>
      </c>
      <c r="M6" s="200">
        <f>'4.DL Finansiālā ilgtspēja'!K4</f>
        <v>2030</v>
      </c>
      <c r="N6" s="200">
        <f>'4.DL Finansiālā ilgtspēja'!L4</f>
        <v>2031</v>
      </c>
      <c r="O6" s="200">
        <f>'4.DL Finansiālā ilgtspēja'!M4</f>
        <v>2032</v>
      </c>
      <c r="P6" s="200">
        <f>'4.DL Finansiālā ilgtspēja'!N4</f>
        <v>2033</v>
      </c>
      <c r="Q6" s="200">
        <f>'4.DL Finansiālā ilgtspēja'!O4</f>
        <v>2034</v>
      </c>
      <c r="R6" s="200">
        <f>'4.DL Finansiālā ilgtspēja'!P4</f>
        <v>2035</v>
      </c>
      <c r="S6" s="200">
        <f>'4.DL Finansiālā ilgtspēja'!Q4</f>
        <v>2036</v>
      </c>
      <c r="T6" s="200">
        <f>'4.DL Finansiālā ilgtspēja'!R4</f>
        <v>2037</v>
      </c>
      <c r="U6" s="200">
        <f>'4.DL Finansiālā ilgtspēja'!S4</f>
        <v>2038</v>
      </c>
      <c r="V6" s="200">
        <f>'4.DL Finansiālā ilgtspēja'!T4</f>
        <v>2039</v>
      </c>
      <c r="W6" s="200">
        <f>'4.DL Finansiālā ilgtspēja'!U4</f>
        <v>2040</v>
      </c>
      <c r="X6" s="200">
        <f>'4.DL Finansiālā ilgtspēja'!V4</f>
        <v>2041</v>
      </c>
      <c r="Y6" s="200">
        <f>'4.DL Finansiālā ilgtspēja'!W4</f>
        <v>2042</v>
      </c>
      <c r="Z6" s="200">
        <f>'4.DL Finansiālā ilgtspēja'!X4</f>
        <v>2043</v>
      </c>
      <c r="AA6" s="200">
        <f>'4.DL Finansiālā ilgtspēja'!Y4</f>
        <v>2044</v>
      </c>
      <c r="AB6" s="200">
        <f>'4.DL Finansiālā ilgtspēja'!Z4</f>
        <v>2045</v>
      </c>
      <c r="AC6" s="200">
        <f>'4.DL Finansiālā ilgtspēja'!AA4</f>
        <v>2046</v>
      </c>
      <c r="AD6" s="200">
        <f>'4.DL Finansiālā ilgtspēja'!AB4</f>
        <v>2047</v>
      </c>
      <c r="AE6" s="200">
        <f>'4.DL Finansiālā ilgtspēja'!AC4</f>
        <v>2048</v>
      </c>
      <c r="AF6" s="200">
        <f>'4.DL Finansiālā ilgtspēja'!AD4</f>
        <v>2049</v>
      </c>
      <c r="AG6" s="200">
        <f>'4.DL Finansiālā ilgtspēja'!AE4</f>
        <v>2050</v>
      </c>
      <c r="AH6" s="200">
        <f>'4.DL Finansiālā ilgtspēja'!AF4</f>
        <v>2051</v>
      </c>
      <c r="AI6" s="200">
        <f>'4.DL Finansiālā ilgtspēja'!AG4</f>
        <v>2052</v>
      </c>
      <c r="AJ6" s="200">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c r="A8" s="328">
        <v>1</v>
      </c>
      <c r="B8" s="329" t="s">
        <v>247</v>
      </c>
      <c r="C8" s="330" t="s">
        <v>133</v>
      </c>
      <c r="D8" s="45">
        <v>0</v>
      </c>
      <c r="E8" s="331">
        <f>G8+NPV($C$3,H8:AJ8)</f>
        <v>3177627.7808942399</v>
      </c>
      <c r="F8" s="331">
        <f>SUM(G8:AJ8)</f>
        <v>4664597.9320872575</v>
      </c>
      <c r="G8" s="332">
        <f>SUM(G9:G17)</f>
        <v>0</v>
      </c>
      <c r="H8" s="332">
        <f>SUM(H9:H17)</f>
        <v>207454.79040000003</v>
      </c>
      <c r="I8" s="332">
        <f t="shared" ref="I8:AJ8" si="0">SUM(I9:I17)</f>
        <v>242722.10476800002</v>
      </c>
      <c r="J8" s="332">
        <f t="shared" si="0"/>
        <v>280478.87662080006</v>
      </c>
      <c r="K8" s="332">
        <f t="shared" si="0"/>
        <v>291698.03168563207</v>
      </c>
      <c r="L8" s="332">
        <f t="shared" si="0"/>
        <v>303365.95295305736</v>
      </c>
      <c r="M8" s="332">
        <f t="shared" si="0"/>
        <v>315500.59107117966</v>
      </c>
      <c r="N8" s="332">
        <f t="shared" si="0"/>
        <v>328120.61471402686</v>
      </c>
      <c r="O8" s="332">
        <f t="shared" si="0"/>
        <v>341245.43930258794</v>
      </c>
      <c r="P8" s="332">
        <f t="shared" si="0"/>
        <v>354895.25687469146</v>
      </c>
      <c r="Q8" s="332">
        <f t="shared" si="0"/>
        <v>369091.06714967912</v>
      </c>
      <c r="R8" s="332">
        <f t="shared" si="0"/>
        <v>383854.70983566629</v>
      </c>
      <c r="S8" s="332">
        <f t="shared" si="0"/>
        <v>399208.898229093</v>
      </c>
      <c r="T8" s="332">
        <f t="shared" si="0"/>
        <v>415177.25415825669</v>
      </c>
      <c r="U8" s="332">
        <f t="shared" si="0"/>
        <v>431784.34432458697</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c r="A9" s="326" t="s">
        <v>98</v>
      </c>
      <c r="B9" s="4" t="str">
        <f>'5.DL soc.econom. analīze'!B9</f>
        <v>Ieguvums ...</v>
      </c>
      <c r="C9" s="33" t="s">
        <v>133</v>
      </c>
      <c r="D9" s="45">
        <v>0</v>
      </c>
      <c r="E9" s="331">
        <f t="shared" ref="E9:E42" si="1">G9+NPV($C$3,H9:AJ9)</f>
        <v>3177627.7808942399</v>
      </c>
      <c r="F9" s="331">
        <f>SUM(G9:AJ9)</f>
        <v>4664597.9320872575</v>
      </c>
      <c r="G9" s="394">
        <f>'5.DL soc.econom. analīze'!F9*(1+'7. DL jut. analīze-Soc.'!$D9)</f>
        <v>0</v>
      </c>
      <c r="H9" s="394">
        <f>'5.DL soc.econom. analīze'!G9*(1+'7. DL jut. analīze-Soc.'!$D9)</f>
        <v>207454.79040000003</v>
      </c>
      <c r="I9" s="394">
        <f>'5.DL soc.econom. analīze'!H9*(1+'7. DL jut. analīze-Soc.'!$D9)</f>
        <v>242722.10476800002</v>
      </c>
      <c r="J9" s="394">
        <f>'5.DL soc.econom. analīze'!I9*(1+'7. DL jut. analīze-Soc.'!$D9)</f>
        <v>280478.87662080006</v>
      </c>
      <c r="K9" s="394">
        <f>'5.DL soc.econom. analīze'!J9*(1+'7. DL jut. analīze-Soc.'!$D9)</f>
        <v>291698.03168563207</v>
      </c>
      <c r="L9" s="394">
        <f>'5.DL soc.econom. analīze'!K9*(1+'7. DL jut. analīze-Soc.'!$D9)</f>
        <v>303365.95295305736</v>
      </c>
      <c r="M9" s="394">
        <f>'5.DL soc.econom. analīze'!L9*(1+'7. DL jut. analīze-Soc.'!$D9)</f>
        <v>315500.59107117966</v>
      </c>
      <c r="N9" s="394">
        <f>'5.DL soc.econom. analīze'!M9*(1+'7. DL jut. analīze-Soc.'!$D9)</f>
        <v>328120.61471402686</v>
      </c>
      <c r="O9" s="394">
        <f>'5.DL soc.econom. analīze'!N9*(1+'7. DL jut. analīze-Soc.'!$D9)</f>
        <v>341245.43930258794</v>
      </c>
      <c r="P9" s="394">
        <f>'5.DL soc.econom. analīze'!O9*(1+'7. DL jut. analīze-Soc.'!$D9)</f>
        <v>354895.25687469146</v>
      </c>
      <c r="Q9" s="394">
        <f>'5.DL soc.econom. analīze'!P9*(1+'7. DL jut. analīze-Soc.'!$D9)</f>
        <v>369091.06714967912</v>
      </c>
      <c r="R9" s="394">
        <f>'5.DL soc.econom. analīze'!Q9*(1+'7. DL jut. analīze-Soc.'!$D9)</f>
        <v>383854.70983566629</v>
      </c>
      <c r="S9" s="394">
        <f>'5.DL soc.econom. analīze'!R9*(1+'7. DL jut. analīze-Soc.'!$D9)</f>
        <v>399208.898229093</v>
      </c>
      <c r="T9" s="394">
        <f>'5.DL soc.econom. analīze'!S9*(1+'7. DL jut. analīze-Soc.'!$D9)</f>
        <v>415177.25415825669</v>
      </c>
      <c r="U9" s="394">
        <f>'5.DL soc.econom. analīze'!T9*(1+'7. DL jut. analīze-Soc.'!$D9)</f>
        <v>431784.34432458697</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c r="A10" s="326" t="s">
        <v>100</v>
      </c>
      <c r="B10" s="4" t="str">
        <f>'5.DL soc.econom. analīze'!B10</f>
        <v>Ieguvums ...</v>
      </c>
      <c r="C10" s="33" t="s">
        <v>133</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c r="A11" s="326" t="s">
        <v>102</v>
      </c>
      <c r="B11" s="4" t="str">
        <f>'5.DL soc.econom. analīze'!B11</f>
        <v>Ieguvums ...</v>
      </c>
      <c r="C11" s="33" t="s">
        <v>133</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c r="A12" s="326" t="s">
        <v>104</v>
      </c>
      <c r="B12" s="4" t="str">
        <f>'5.DL soc.econom. analīze'!B12</f>
        <v>Ieguvums ...</v>
      </c>
      <c r="C12" s="33" t="s">
        <v>133</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c r="A13" s="326" t="s">
        <v>106</v>
      </c>
      <c r="B13" s="4" t="str">
        <f>'5.DL soc.econom. analīze'!B13</f>
        <v>Ieguvums ...</v>
      </c>
      <c r="C13" s="33" t="s">
        <v>133</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c r="A14" s="326" t="s">
        <v>109</v>
      </c>
      <c r="B14" s="4" t="str">
        <f>'5.DL soc.econom. analīze'!B14</f>
        <v>Ieguvums ...</v>
      </c>
      <c r="C14" s="33" t="s">
        <v>133</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c r="A15" s="326" t="s">
        <v>114</v>
      </c>
      <c r="B15" s="4" t="str">
        <f>'5.DL soc.econom. analīze'!B15</f>
        <v>Ieguvums ...</v>
      </c>
      <c r="C15" s="33" t="s">
        <v>133</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c r="A16" s="326" t="s">
        <v>116</v>
      </c>
      <c r="B16" s="4" t="str">
        <f>'5.DL soc.econom. analīze'!B16</f>
        <v>Ieguvums ...</v>
      </c>
      <c r="C16" s="33" t="s">
        <v>133</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c r="A17" s="326" t="s">
        <v>119</v>
      </c>
      <c r="B17" s="4" t="str">
        <f>'5.DL soc.econom. analīze'!B17</f>
        <v>Ieguvums ...</v>
      </c>
      <c r="C17" s="33" t="s">
        <v>133</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c r="A18" s="328">
        <v>2</v>
      </c>
      <c r="B18" s="329" t="s">
        <v>249</v>
      </c>
      <c r="C18" s="330" t="s">
        <v>133</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c r="A19" s="326" t="s">
        <v>194</v>
      </c>
      <c r="B19" s="4" t="str">
        <f>'5.DL soc.econom. analīze'!B19</f>
        <v>Ieguvums ...</v>
      </c>
      <c r="C19" s="33" t="s">
        <v>133</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c r="A20" s="326" t="s">
        <v>195</v>
      </c>
      <c r="B20" s="4" t="str">
        <f>'5.DL soc.econom. analīze'!B20</f>
        <v>Ieguvums ...</v>
      </c>
      <c r="C20" s="33" t="s">
        <v>133</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c r="A21" s="326" t="s">
        <v>196</v>
      </c>
      <c r="B21" s="4" t="str">
        <f>'5.DL soc.econom. analīze'!B21</f>
        <v>Ieguvums ...</v>
      </c>
      <c r="C21" s="33" t="s">
        <v>133</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c r="A22" s="326" t="s">
        <v>197</v>
      </c>
      <c r="B22" s="4" t="str">
        <f>'5.DL soc.econom. analīze'!B22</f>
        <v>Ieguvums ...</v>
      </c>
      <c r="C22" s="33" t="s">
        <v>133</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c r="A23" s="326" t="s">
        <v>198</v>
      </c>
      <c r="B23" s="4" t="str">
        <f>'5.DL soc.econom. analīze'!B23</f>
        <v>Ieguvums ...</v>
      </c>
      <c r="C23" s="33" t="s">
        <v>133</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c r="A24" s="328">
        <v>3</v>
      </c>
      <c r="B24" s="395" t="s">
        <v>250</v>
      </c>
      <c r="C24" s="330" t="s">
        <v>133</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c r="A25" s="326" t="s">
        <v>211</v>
      </c>
      <c r="B25" s="4" t="str">
        <f>'5.DL soc.econom. analīze'!B25</f>
        <v>Zaudējumi...</v>
      </c>
      <c r="C25" s="33" t="s">
        <v>133</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c r="A26" s="326" t="s">
        <v>217</v>
      </c>
      <c r="B26" s="4" t="str">
        <f>'5.DL soc.econom. analīze'!B26</f>
        <v>Zaudējumi...</v>
      </c>
      <c r="C26" s="33" t="s">
        <v>133</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c r="A27" s="326" t="s">
        <v>252</v>
      </c>
      <c r="B27" s="4" t="str">
        <f>'5.DL soc.econom. analīze'!B27</f>
        <v>Zaudējumi...</v>
      </c>
      <c r="C27" s="33" t="s">
        <v>133</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c r="A28" s="326" t="s">
        <v>253</v>
      </c>
      <c r="B28" s="4" t="str">
        <f>'5.DL soc.econom. analīze'!B28</f>
        <v>Zaudējumi...</v>
      </c>
      <c r="C28" s="33" t="s">
        <v>133</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c r="A29" s="326" t="s">
        <v>254</v>
      </c>
      <c r="B29" s="4" t="str">
        <f>'5.DL soc.econom. analīze'!B29</f>
        <v>Zaudējumi...</v>
      </c>
      <c r="C29" s="33" t="s">
        <v>133</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c r="A30" s="326" t="s">
        <v>255</v>
      </c>
      <c r="B30" s="4" t="str">
        <f>'5.DL soc.econom. analīze'!B30</f>
        <v>Zaudējumi...</v>
      </c>
      <c r="C30" s="33" t="s">
        <v>133</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c r="A31" s="326" t="s">
        <v>256</v>
      </c>
      <c r="B31" s="4" t="str">
        <f>'5.DL soc.econom. analīze'!B31</f>
        <v>Zaudējumi...</v>
      </c>
      <c r="C31" s="33" t="s">
        <v>133</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c r="A32" s="326" t="s">
        <v>257</v>
      </c>
      <c r="B32" s="4" t="str">
        <f>'5.DL soc.econom. analīze'!B32</f>
        <v>Zaudējumi...</v>
      </c>
      <c r="C32" s="33" t="s">
        <v>133</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c r="A33" s="326" t="s">
        <v>258</v>
      </c>
      <c r="B33" s="4" t="str">
        <f>'5.DL soc.econom. analīze'!B33</f>
        <v>Zaudējumi...</v>
      </c>
      <c r="C33" s="33" t="s">
        <v>133</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c r="A34" s="328">
        <v>4</v>
      </c>
      <c r="B34" s="329" t="s">
        <v>259</v>
      </c>
      <c r="C34" s="330" t="s">
        <v>133</v>
      </c>
      <c r="D34" s="45">
        <v>0</v>
      </c>
      <c r="E34" s="331">
        <f t="shared" si="1"/>
        <v>-1194209.3827045511</v>
      </c>
      <c r="F34" s="331">
        <f t="shared" si="2"/>
        <v>-1141368.5950413223</v>
      </c>
      <c r="G34" s="332">
        <f>SUM(G35:G38)</f>
        <v>-1230271.0743801652</v>
      </c>
      <c r="H34" s="332">
        <f t="shared" ref="H34:AJ34" si="5">SUM(H35:H38)</f>
        <v>-49097.520661157025</v>
      </c>
      <c r="I34" s="332">
        <f t="shared" si="5"/>
        <v>2000</v>
      </c>
      <c r="J34" s="332">
        <f t="shared" si="5"/>
        <v>2000</v>
      </c>
      <c r="K34" s="332">
        <f t="shared" si="5"/>
        <v>22000</v>
      </c>
      <c r="L34" s="332">
        <f t="shared" si="5"/>
        <v>2000</v>
      </c>
      <c r="M34" s="332">
        <f t="shared" si="5"/>
        <v>2000</v>
      </c>
      <c r="N34" s="332">
        <f t="shared" si="5"/>
        <v>1000</v>
      </c>
      <c r="O34" s="332">
        <f t="shared" si="5"/>
        <v>1000</v>
      </c>
      <c r="P34" s="332">
        <f t="shared" si="5"/>
        <v>21000</v>
      </c>
      <c r="Q34" s="332">
        <f t="shared" si="5"/>
        <v>1000</v>
      </c>
      <c r="R34" s="332">
        <f t="shared" si="5"/>
        <v>1000</v>
      </c>
      <c r="S34" s="332">
        <f t="shared" si="5"/>
        <v>1000</v>
      </c>
      <c r="T34" s="332">
        <f t="shared" si="5"/>
        <v>1000</v>
      </c>
      <c r="U34" s="332">
        <f t="shared" si="5"/>
        <v>81000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c r="A35" s="326" t="s">
        <v>222</v>
      </c>
      <c r="B35" s="4" t="str">
        <f>'5.DL soc.econom. analīze'!B35</f>
        <v>Investīciju izmaksas (-)</v>
      </c>
      <c r="C35" s="33" t="s">
        <v>133</v>
      </c>
      <c r="D35" s="45">
        <v>0</v>
      </c>
      <c r="E35" s="331">
        <f t="shared" si="1"/>
        <v>-1301523.8095238095</v>
      </c>
      <c r="F35" s="331">
        <f t="shared" si="2"/>
        <v>-1304000</v>
      </c>
      <c r="G35" s="394">
        <f>'5.DL soc.econom. analīze'!F35*(1+'7. DL jut. analīze-Soc.'!$D35)</f>
        <v>-1252000</v>
      </c>
      <c r="H35" s="394">
        <f>'5.DL soc.econom. analīze'!G35*(1+'7. DL jut. analīze-Soc.'!$D35)</f>
        <v>-52000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c r="A36" s="326" t="s">
        <v>260</v>
      </c>
      <c r="B36" s="4" t="str">
        <f>'5.DL soc.econom. analīze'!B36</f>
        <v>Darbības izmaksas (+/-)</v>
      </c>
      <c r="C36" s="33" t="s">
        <v>133</v>
      </c>
      <c r="D36" s="45">
        <v>0</v>
      </c>
      <c r="E36" s="331">
        <f t="shared" si="1"/>
        <v>44320.560827550653</v>
      </c>
      <c r="F36" s="331">
        <f t="shared" si="2"/>
        <v>60000</v>
      </c>
      <c r="G36" s="394">
        <f>'5.DL soc.econom. analīze'!F36*(1+'7. DL jut. analīze-Soc.'!$D36)</f>
        <v>0</v>
      </c>
      <c r="H36" s="394">
        <f>'5.DL soc.econom. analīze'!G36*(1+'7. DL jut. analīze-Soc.'!$D36)</f>
        <v>2000</v>
      </c>
      <c r="I36" s="394">
        <f>'5.DL soc.econom. analīze'!H36*(1+'7. DL jut. analīze-Soc.'!$D36)</f>
        <v>2000</v>
      </c>
      <c r="J36" s="394">
        <f>'5.DL soc.econom. analīze'!I36*(1+'7. DL jut. analīze-Soc.'!$D36)</f>
        <v>2000</v>
      </c>
      <c r="K36" s="394">
        <f>'5.DL soc.econom. analīze'!J36*(1+'7. DL jut. analīze-Soc.'!$D36)</f>
        <v>22000</v>
      </c>
      <c r="L36" s="394">
        <f>'5.DL soc.econom. analīze'!K36*(1+'7. DL jut. analīze-Soc.'!$D36)</f>
        <v>2000</v>
      </c>
      <c r="M36" s="394">
        <f>'5.DL soc.econom. analīze'!L36*(1+'7. DL jut. analīze-Soc.'!$D36)</f>
        <v>2000</v>
      </c>
      <c r="N36" s="394">
        <f>'5.DL soc.econom. analīze'!M36*(1+'7. DL jut. analīze-Soc.'!$D36)</f>
        <v>1000</v>
      </c>
      <c r="O36" s="394">
        <f>'5.DL soc.econom. analīze'!N36*(1+'7. DL jut. analīze-Soc.'!$D36)</f>
        <v>1000</v>
      </c>
      <c r="P36" s="394">
        <f>'5.DL soc.econom. analīze'!O36*(1+'7. DL jut. analīze-Soc.'!$D36)</f>
        <v>21000</v>
      </c>
      <c r="Q36" s="394">
        <f>'5.DL soc.econom. analīze'!P36*(1+'7. DL jut. analīze-Soc.'!$D36)</f>
        <v>1000</v>
      </c>
      <c r="R36" s="394">
        <f>'5.DL soc.econom. analīze'!Q36*(1+'7. DL jut. analīze-Soc.'!$D36)</f>
        <v>1000</v>
      </c>
      <c r="S36" s="394">
        <f>'5.DL soc.econom. analīze'!R36*(1+'7. DL jut. analīze-Soc.'!$D36)</f>
        <v>1000</v>
      </c>
      <c r="T36" s="394">
        <f>'5.DL soc.econom. analīze'!S36*(1+'7. DL jut. analīze-Soc.'!$D36)</f>
        <v>1000</v>
      </c>
      <c r="U36" s="394">
        <f>'5.DL soc.econom. analīze'!T36*(1+'7. DL jut. analīze-Soc.'!$D36)</f>
        <v>1000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c r="A37" s="336" t="s">
        <v>262</v>
      </c>
      <c r="B37" s="4" t="str">
        <f>'5.DL soc.econom. analīze'!B37</f>
        <v>Projekta atlikusī vērtība (+)</v>
      </c>
      <c r="C37" s="337" t="s">
        <v>133</v>
      </c>
      <c r="D37" s="45">
        <v>0</v>
      </c>
      <c r="E37" s="331">
        <f t="shared" si="1"/>
        <v>40405.43623964148</v>
      </c>
      <c r="F37" s="331">
        <f t="shared" si="2"/>
        <v>80000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80000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c r="A38" s="328">
        <v>5</v>
      </c>
      <c r="B38" s="329" t="s">
        <v>263</v>
      </c>
      <c r="C38" s="330" t="s">
        <v>133</v>
      </c>
      <c r="D38" s="45">
        <v>0</v>
      </c>
      <c r="E38" s="331">
        <f t="shared" si="1"/>
        <v>22588.429752066117</v>
      </c>
      <c r="F38" s="331">
        <f t="shared" si="2"/>
        <v>22631.404958677685</v>
      </c>
      <c r="G38" s="332">
        <f>SUM(G39:G41)</f>
        <v>21728.92561983471</v>
      </c>
      <c r="H38" s="332">
        <f t="shared" ref="H38:AJ38" si="6">SUM(H39:H41)</f>
        <v>902.47933884297527</v>
      </c>
      <c r="I38" s="332">
        <f t="shared" si="6"/>
        <v>0</v>
      </c>
      <c r="J38" s="332">
        <f t="shared" si="6"/>
        <v>0</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c r="A39" s="326" t="s">
        <v>264</v>
      </c>
      <c r="B39" s="4" t="str">
        <f>'5.DL soc.econom. analīze'!B39</f>
        <v>Projekta darbības izmaksu darbaspēka izmaksas (+/-)**</v>
      </c>
      <c r="C39" s="33" t="s">
        <v>133</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c r="A40" s="326" t="s">
        <v>266</v>
      </c>
      <c r="B40" s="4" t="str">
        <f>'5.DL soc.econom. analīze'!B40</f>
        <v>Investīciju darba spēka izmaksas (+)**</v>
      </c>
      <c r="C40" s="33" t="s">
        <v>133</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c r="A41" s="336" t="s">
        <v>268</v>
      </c>
      <c r="B41" s="4" t="str">
        <f>'5.DL soc.econom. analīze'!B41</f>
        <v>Citas fiskālās korekcijas (+)*</v>
      </c>
      <c r="C41" s="337" t="s">
        <v>133</v>
      </c>
      <c r="D41" s="45">
        <v>0</v>
      </c>
      <c r="E41" s="331">
        <f t="shared" si="1"/>
        <v>22588.429752066117</v>
      </c>
      <c r="F41" s="331">
        <f t="shared" si="2"/>
        <v>22631.404958677685</v>
      </c>
      <c r="G41" s="394">
        <f>'5.DL soc.econom. analīze'!F41*(1+'7. DL jut. analīze-Soc.'!$D41)</f>
        <v>21728.92561983471</v>
      </c>
      <c r="H41" s="394">
        <f>'5.DL soc.econom. analīze'!G41*(1+'7. DL jut. analīze-Soc.'!$D41)</f>
        <v>902.47933884297527</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c r="A42" s="339"/>
      <c r="B42" s="340" t="s">
        <v>200</v>
      </c>
      <c r="C42" s="339"/>
      <c r="D42" s="339"/>
      <c r="E42" s="341">
        <f t="shared" si="1"/>
        <v>1983418.3981896893</v>
      </c>
      <c r="F42" s="341">
        <f t="shared" si="2"/>
        <v>3523229.337045935</v>
      </c>
      <c r="G42" s="342">
        <f>G8+G18+G24+G34</f>
        <v>-1230271.0743801652</v>
      </c>
      <c r="H42" s="342">
        <f t="shared" ref="H42:AJ42" si="7">H8+H18+H24+H34</f>
        <v>158357.269738843</v>
      </c>
      <c r="I42" s="342">
        <f t="shared" si="7"/>
        <v>244722.10476800002</v>
      </c>
      <c r="J42" s="342">
        <f t="shared" si="7"/>
        <v>282478.87662080006</v>
      </c>
      <c r="K42" s="342">
        <f t="shared" si="7"/>
        <v>313698.03168563207</v>
      </c>
      <c r="L42" s="342">
        <f t="shared" si="7"/>
        <v>305365.95295305736</v>
      </c>
      <c r="M42" s="342">
        <f t="shared" si="7"/>
        <v>317500.59107117966</v>
      </c>
      <c r="N42" s="342">
        <f t="shared" si="7"/>
        <v>329120.61471402686</v>
      </c>
      <c r="O42" s="342">
        <f t="shared" si="7"/>
        <v>342245.43930258794</v>
      </c>
      <c r="P42" s="342">
        <f t="shared" si="7"/>
        <v>375895.25687469146</v>
      </c>
      <c r="Q42" s="342">
        <f t="shared" si="7"/>
        <v>370091.06714967912</v>
      </c>
      <c r="R42" s="342">
        <f t="shared" si="7"/>
        <v>384854.70983566629</v>
      </c>
      <c r="S42" s="342">
        <f t="shared" si="7"/>
        <v>400208.898229093</v>
      </c>
      <c r="T42" s="342">
        <f t="shared" si="7"/>
        <v>416177.25415825669</v>
      </c>
      <c r="U42" s="342">
        <f t="shared" si="7"/>
        <v>512784.34432458697</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row r="44" spans="1:81" s="195" customFormat="1">
      <c r="A44" s="328">
        <v>6</v>
      </c>
      <c r="B44" s="329" t="s">
        <v>270</v>
      </c>
      <c r="C44" s="329"/>
      <c r="D44" s="329"/>
      <c r="E44" s="576" t="s">
        <v>304</v>
      </c>
      <c r="F44" s="577"/>
      <c r="G44" s="577" t="s">
        <v>305</v>
      </c>
      <c r="H44" s="577"/>
      <c r="I44" s="577" t="s">
        <v>306</v>
      </c>
      <c r="J44" s="578"/>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5" customFormat="1">
      <c r="A45" s="344" t="s">
        <v>271</v>
      </c>
      <c r="B45" s="226" t="s">
        <v>272</v>
      </c>
      <c r="C45" s="226"/>
      <c r="D45" s="226"/>
      <c r="E45" s="579">
        <f>'5.DL soc.econom. analīze'!D44</f>
        <v>1983418.3981896893</v>
      </c>
      <c r="F45" s="580"/>
      <c r="G45" s="396">
        <f>E42</f>
        <v>1983418.3981896893</v>
      </c>
      <c r="H45" s="397"/>
      <c r="I45" s="574">
        <f>G45/E45-1</f>
        <v>0</v>
      </c>
      <c r="J45" s="575"/>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row>
    <row r="46" spans="1:81" s="195" customFormat="1" ht="12.75" customHeight="1">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A18" sqref="A18"/>
      <selection pane="bottomLeft" activeCell="A4" sqref="A4"/>
      <selection pane="topRight" activeCell="C1" sqref="C1"/>
    </sheetView>
  </sheetViews>
  <sheetFormatPr defaultColWidth="9.140625" defaultRowHeight="15.75"/>
  <cols>
    <col min="1" max="1" width="6" style="147" customWidth="1"/>
    <col min="2" max="2" width="57.28515625" style="147" customWidth="1"/>
    <col min="3" max="5" width="32.7109375" style="147" customWidth="1"/>
    <col min="6" max="7" width="9.140625" style="147" customWidth="1"/>
    <col min="8" max="16384" width="9.140625" style="147"/>
  </cols>
  <sheetData>
    <row r="1" spans="1:6" ht="26.25">
      <c r="A1" s="545" t="s">
        <v>96</v>
      </c>
      <c r="B1" s="545"/>
      <c r="C1" s="545"/>
      <c r="D1" s="545"/>
      <c r="E1" s="545"/>
    </row>
    <row r="2" spans="1:6">
      <c r="A2" s="148" t="s">
        <v>97</v>
      </c>
      <c r="B2" s="148"/>
      <c r="C2" s="148"/>
      <c r="D2" s="148"/>
      <c r="E2" s="148"/>
    </row>
    <row r="3" spans="1:6">
      <c r="A3" s="149"/>
      <c r="B3" s="149"/>
      <c r="C3" s="150"/>
      <c r="D3" s="150"/>
      <c r="E3" s="150"/>
    </row>
    <row r="4" spans="1:6" ht="15.75" customHeight="1">
      <c r="A4" s="151" t="s">
        <v>98</v>
      </c>
      <c r="B4" s="151" t="s">
        <v>99</v>
      </c>
      <c r="C4" s="95"/>
      <c r="D4" s="21"/>
      <c r="E4" s="21"/>
    </row>
    <row r="5" spans="1:6" ht="15.75" customHeight="1">
      <c r="A5" s="151" t="s">
        <v>100</v>
      </c>
      <c r="B5" s="151" t="s">
        <v>101</v>
      </c>
      <c r="C5" s="158" t="s">
        <v>30</v>
      </c>
      <c r="D5" s="21"/>
      <c r="E5" s="21"/>
    </row>
    <row r="6" spans="1:6">
      <c r="A6" s="151" t="s">
        <v>102</v>
      </c>
      <c r="B6" s="151" t="s">
        <v>103</v>
      </c>
      <c r="C6" s="95"/>
      <c r="D6" s="21"/>
      <c r="E6" s="21"/>
    </row>
    <row r="7" spans="1:6">
      <c r="A7" s="151" t="s">
        <v>104</v>
      </c>
      <c r="B7" s="151" t="s">
        <v>105</v>
      </c>
      <c r="C7" s="112" t="s">
        <v>13</v>
      </c>
      <c r="D7" s="21"/>
      <c r="E7" s="21"/>
    </row>
    <row r="8" spans="1:6" hidden="1">
      <c r="A8" s="151" t="s">
        <v>106</v>
      </c>
      <c r="B8" s="151" t="s">
        <v>107</v>
      </c>
      <c r="C8" s="113"/>
      <c r="D8" s="21"/>
      <c r="E8" s="21"/>
      <c r="F8" s="152" t="s">
        <v>108</v>
      </c>
    </row>
    <row r="9" spans="1:6" hidden="1">
      <c r="A9" s="541" t="s">
        <v>109</v>
      </c>
      <c r="B9" s="541" t="s">
        <v>110</v>
      </c>
      <c r="C9" s="22" t="s">
        <v>111</v>
      </c>
      <c r="D9" s="21"/>
      <c r="E9" s="21"/>
    </row>
    <row r="10" spans="1:6" hidden="1">
      <c r="A10" s="542"/>
      <c r="B10" s="542"/>
      <c r="C10" s="22"/>
      <c r="D10" s="21"/>
      <c r="E10" s="21"/>
    </row>
    <row r="11" spans="1:6" hidden="1">
      <c r="A11" s="542"/>
      <c r="B11" s="542"/>
      <c r="C11" s="22"/>
      <c r="D11" s="21"/>
      <c r="E11" s="21"/>
    </row>
    <row r="12" spans="1:6" hidden="1">
      <c r="A12" s="543"/>
      <c r="B12" s="543"/>
      <c r="C12" s="22"/>
      <c r="D12" s="21"/>
      <c r="E12" s="21"/>
    </row>
    <row r="13" spans="1:6">
      <c r="A13" s="153" t="s">
        <v>106</v>
      </c>
      <c r="B13" s="154" t="s">
        <v>112</v>
      </c>
      <c r="C13" s="132"/>
      <c r="D13" s="132"/>
      <c r="E13" s="132">
        <v>2024</v>
      </c>
    </row>
    <row r="14" spans="1:6">
      <c r="A14" s="151" t="s">
        <v>109</v>
      </c>
      <c r="B14" s="154" t="s">
        <v>113</v>
      </c>
      <c r="C14" s="132"/>
      <c r="D14" s="132"/>
      <c r="E14" s="132">
        <v>2024</v>
      </c>
    </row>
    <row r="15" spans="1:6">
      <c r="A15" s="151" t="s">
        <v>114</v>
      </c>
      <c r="B15" s="154" t="s">
        <v>115</v>
      </c>
      <c r="C15" s="544" t="s">
        <v>59</v>
      </c>
      <c r="D15" s="544"/>
      <c r="E15" s="544"/>
    </row>
    <row r="16" spans="1:6">
      <c r="A16" s="151" t="s">
        <v>116</v>
      </c>
      <c r="B16" s="154" t="s">
        <v>117</v>
      </c>
      <c r="C16" s="544">
        <v>15</v>
      </c>
      <c r="D16" s="546"/>
      <c r="E16" s="546"/>
      <c r="F16" s="504" t="s">
        <v>118</v>
      </c>
    </row>
    <row r="17" spans="1:5">
      <c r="A17" s="151" t="s">
        <v>119</v>
      </c>
      <c r="B17" s="151" t="s">
        <v>120</v>
      </c>
      <c r="C17" s="544">
        <v>2029</v>
      </c>
      <c r="D17" s="544"/>
      <c r="E17" s="544"/>
    </row>
    <row r="18" spans="1:5">
      <c r="A18" s="155"/>
      <c r="B18" s="149" t="s">
        <v>121</v>
      </c>
      <c r="C18" s="150"/>
      <c r="D18" s="150"/>
      <c r="E18" s="150"/>
    </row>
    <row r="19" spans="1:5">
      <c r="A19" s="155"/>
      <c r="B19" s="156">
        <v>0</v>
      </c>
      <c r="C19" s="149" t="s">
        <v>122</v>
      </c>
      <c r="D19" s="150"/>
      <c r="E19" s="150"/>
    </row>
    <row r="20" spans="1:5">
      <c r="A20" s="155"/>
      <c r="B20" s="157">
        <v>0</v>
      </c>
      <c r="C20" s="149" t="s">
        <v>123</v>
      </c>
      <c r="D20" s="150"/>
      <c r="E20" s="150"/>
    </row>
    <row r="25" spans="1:5">
      <c r="C25" s="148"/>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4">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2" xr:uid="{A7DCDDDD-AA88-4A71-AE9D-E517E7A0B42A}"/>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71" t="s">
        <v>282</v>
      </c>
      <c r="B1" s="571"/>
      <c r="C1" s="571"/>
      <c r="D1" s="571"/>
      <c r="E1" s="571"/>
      <c r="F1" s="571"/>
      <c r="G1" s="571"/>
      <c r="H1" s="571"/>
      <c r="I1" s="57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6"/>
      <c r="B3" s="42" t="s">
        <v>283</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6" t="s">
        <v>284</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7"/>
      <c r="B5" s="192"/>
      <c r="C5" s="192"/>
      <c r="D5" s="288"/>
      <c r="E5" s="288"/>
      <c r="F5" s="197"/>
      <c r="G5" s="322" t="s">
        <v>245</v>
      </c>
      <c r="H5" s="323"/>
      <c r="I5" s="290">
        <f>'5.DL soc.econom. analīze'!F5</f>
        <v>1</v>
      </c>
      <c r="J5" s="290">
        <f>'5.DL soc.econom. analīze'!G5</f>
        <v>2</v>
      </c>
      <c r="K5" s="290">
        <f>'5.DL soc.econom. analīze'!H5</f>
        <v>3</v>
      </c>
      <c r="L5" s="290">
        <f>'5.DL soc.econom. analīze'!I5</f>
        <v>4</v>
      </c>
      <c r="M5" s="290">
        <f>'5.DL soc.econom. analīze'!J5</f>
        <v>5</v>
      </c>
      <c r="N5" s="290">
        <f>'5.DL soc.econom. analīze'!K5</f>
        <v>6</v>
      </c>
      <c r="O5" s="290">
        <f>'5.DL soc.econom. analīze'!L5</f>
        <v>7</v>
      </c>
      <c r="P5" s="290">
        <f>'5.DL soc.econom. analīze'!M5</f>
        <v>8</v>
      </c>
      <c r="Q5" s="290">
        <f>'5.DL soc.econom. analīze'!N5</f>
        <v>9</v>
      </c>
      <c r="R5" s="290">
        <f>'5.DL soc.econom. analīze'!O5</f>
        <v>10</v>
      </c>
      <c r="S5" s="290">
        <f>'5.DL soc.econom. analīze'!P5</f>
        <v>11</v>
      </c>
      <c r="T5" s="290">
        <f>'5.DL soc.econom. analīze'!Q5</f>
        <v>12</v>
      </c>
      <c r="U5" s="290">
        <f>'5.DL soc.econom. analīze'!R5</f>
        <v>13</v>
      </c>
      <c r="V5" s="290">
        <f>'5.DL soc.econom. analīze'!S5</f>
        <v>14</v>
      </c>
      <c r="W5" s="290">
        <f>'5.DL soc.econom. analīze'!T5</f>
        <v>15</v>
      </c>
      <c r="X5" s="290">
        <f>'5.DL soc.econom. analīze'!U5</f>
        <v>16</v>
      </c>
      <c r="Y5" s="290">
        <f>'5.DL soc.econom. analīze'!V5</f>
        <v>17</v>
      </c>
      <c r="Z5" s="290">
        <f>'5.DL soc.econom. analīze'!W5</f>
        <v>18</v>
      </c>
      <c r="AA5" s="290">
        <f>'5.DL soc.econom. analīze'!X5</f>
        <v>19</v>
      </c>
      <c r="AB5" s="290">
        <f>'5.DL soc.econom. analīze'!Y5</f>
        <v>20</v>
      </c>
      <c r="AC5" s="290">
        <f>'5.DL soc.econom. analīze'!Z5</f>
        <v>21</v>
      </c>
      <c r="AD5" s="290">
        <f>'5.DL soc.econom. analīze'!AA5</f>
        <v>22</v>
      </c>
      <c r="AE5" s="290">
        <f>'5.DL soc.econom. analīze'!AB5</f>
        <v>23</v>
      </c>
      <c r="AF5" s="290">
        <f>'5.DL soc.econom. analīze'!AC5</f>
        <v>24</v>
      </c>
      <c r="AG5" s="290">
        <f>'5.DL soc.econom. analīze'!AD5</f>
        <v>25</v>
      </c>
      <c r="AH5" s="290">
        <f>'5.DL soc.econom. analīze'!AE5</f>
        <v>26</v>
      </c>
      <c r="AI5" s="290">
        <f>'5.DL soc.econom. analīze'!AF5</f>
        <v>27</v>
      </c>
      <c r="AJ5" s="290">
        <f>'5.DL soc.econom. analīze'!AG5</f>
        <v>28</v>
      </c>
      <c r="AK5" s="290">
        <f>'5.DL soc.econom. analīze'!AH5</f>
        <v>29</v>
      </c>
      <c r="AL5" s="290">
        <f>'5.DL soc.econom. analīze'!AI5</f>
        <v>30</v>
      </c>
    </row>
    <row r="6" spans="1:38">
      <c r="A6" s="358">
        <v>1</v>
      </c>
      <c r="B6" s="314" t="s">
        <v>191</v>
      </c>
      <c r="C6" s="314"/>
      <c r="D6" s="314"/>
      <c r="E6" s="204" t="s">
        <v>189</v>
      </c>
      <c r="F6" s="322" t="s">
        <v>303</v>
      </c>
      <c r="G6" s="359" t="s">
        <v>190</v>
      </c>
      <c r="H6" s="359" t="s">
        <v>190</v>
      </c>
      <c r="I6" s="291">
        <f>'5.DL soc.econom. analīze'!F6</f>
        <v>2024</v>
      </c>
      <c r="J6" s="291">
        <f>'5.DL soc.econom. analīze'!G6</f>
        <v>2025</v>
      </c>
      <c r="K6" s="291">
        <f>'5.DL soc.econom. analīze'!H6</f>
        <v>2026</v>
      </c>
      <c r="L6" s="291">
        <f>'5.DL soc.econom. analīze'!I6</f>
        <v>2027</v>
      </c>
      <c r="M6" s="291">
        <f>'5.DL soc.econom. analīze'!J6</f>
        <v>2028</v>
      </c>
      <c r="N6" s="291">
        <f>'5.DL soc.econom. analīze'!K6</f>
        <v>2029</v>
      </c>
      <c r="O6" s="291">
        <f>'5.DL soc.econom. analīze'!L6</f>
        <v>2030</v>
      </c>
      <c r="P6" s="291">
        <f>'5.DL soc.econom. analīze'!M6</f>
        <v>2031</v>
      </c>
      <c r="Q6" s="291">
        <f>'5.DL soc.econom. analīze'!N6</f>
        <v>2032</v>
      </c>
      <c r="R6" s="291">
        <f>'5.DL soc.econom. analīze'!O6</f>
        <v>2033</v>
      </c>
      <c r="S6" s="291">
        <f>'5.DL soc.econom. analīze'!P6</f>
        <v>2034</v>
      </c>
      <c r="T6" s="291">
        <f>'5.DL soc.econom. analīze'!Q6</f>
        <v>2035</v>
      </c>
      <c r="U6" s="291">
        <f>'5.DL soc.econom. analīze'!R6</f>
        <v>2036</v>
      </c>
      <c r="V6" s="291">
        <f>'5.DL soc.econom. analīze'!S6</f>
        <v>2037</v>
      </c>
      <c r="W6" s="291">
        <f>'5.DL soc.econom. analīze'!T6</f>
        <v>2038</v>
      </c>
      <c r="X6" s="291">
        <f>'5.DL soc.econom. analīze'!U6</f>
        <v>2039</v>
      </c>
      <c r="Y6" s="291">
        <f>'5.DL soc.econom. analīze'!V6</f>
        <v>2040</v>
      </c>
      <c r="Z6" s="291">
        <f>'5.DL soc.econom. analīze'!W6</f>
        <v>2041</v>
      </c>
      <c r="AA6" s="291">
        <f>'5.DL soc.econom. analīze'!X6</f>
        <v>2042</v>
      </c>
      <c r="AB6" s="291">
        <f>'5.DL soc.econom. analīze'!Y6</f>
        <v>2043</v>
      </c>
      <c r="AC6" s="291">
        <f>'5.DL soc.econom. analīze'!Z6</f>
        <v>2044</v>
      </c>
      <c r="AD6" s="291">
        <f>'5.DL soc.econom. analīze'!AA6</f>
        <v>2045</v>
      </c>
      <c r="AE6" s="291">
        <f>'5.DL soc.econom. analīze'!AB6</f>
        <v>2046</v>
      </c>
      <c r="AF6" s="291">
        <f>'5.DL soc.econom. analīze'!AC6</f>
        <v>2047</v>
      </c>
      <c r="AG6" s="291">
        <f>'5.DL soc.econom. analīze'!AD6</f>
        <v>2048</v>
      </c>
      <c r="AH6" s="291">
        <f>'5.DL soc.econom. analīze'!AE6</f>
        <v>2049</v>
      </c>
      <c r="AI6" s="291">
        <f>'5.DL soc.econom. analīze'!AF6</f>
        <v>2050</v>
      </c>
      <c r="AJ6" s="291">
        <f>'5.DL soc.econom. analīze'!AG6</f>
        <v>2051</v>
      </c>
      <c r="AK6" s="291">
        <f>'5.DL soc.econom. analīze'!AH6</f>
        <v>2052</v>
      </c>
      <c r="AL6" s="291">
        <f>'5.DL soc.econom. analīze'!AI6</f>
        <v>2053</v>
      </c>
    </row>
    <row r="7" spans="1:38">
      <c r="A7" s="360"/>
      <c r="B7" s="361" t="s">
        <v>98</v>
      </c>
      <c r="C7" s="361" t="s">
        <v>285</v>
      </c>
      <c r="D7" s="361"/>
      <c r="E7" s="362" t="s">
        <v>133</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c r="A8" s="365"/>
      <c r="B8" s="29" t="s">
        <v>100</v>
      </c>
      <c r="C8" s="29" t="s">
        <v>223</v>
      </c>
      <c r="D8" s="29"/>
      <c r="E8" s="366" t="s">
        <v>133</v>
      </c>
      <c r="F8" s="45">
        <v>0</v>
      </c>
      <c r="G8" s="331">
        <f t="shared" ref="G8:G13" si="0">I8+NPV($E$3,J8:AL8)</f>
        <v>46198.006625744456</v>
      </c>
      <c r="H8" s="331">
        <f t="shared" ref="H8:H13" si="1">SUM(I8:AL8)</f>
        <v>80000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80000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c r="A9" s="365"/>
      <c r="B9" s="29" t="s">
        <v>102</v>
      </c>
      <c r="C9" s="29" t="s">
        <v>286</v>
      </c>
      <c r="D9" s="29"/>
      <c r="E9" s="366" t="s">
        <v>133</v>
      </c>
      <c r="F9" s="45">
        <v>0</v>
      </c>
      <c r="G9" s="331">
        <f t="shared" si="0"/>
        <v>46953.078318372311</v>
      </c>
      <c r="H9" s="331">
        <f t="shared" si="1"/>
        <v>60000</v>
      </c>
      <c r="I9" s="364">
        <f>'6. DL finanšu_analīze'!H9*(1+'8. DL jut. analize-Fin.'!$F9)</f>
        <v>0</v>
      </c>
      <c r="J9" s="364">
        <f>'6. DL finanšu_analīze'!I9*(1+'8. DL jut. analize-Fin.'!$F9)</f>
        <v>2000</v>
      </c>
      <c r="K9" s="364">
        <f>'6. DL finanšu_analīze'!J9*(1+'8. DL jut. analize-Fin.'!$F9)</f>
        <v>2000</v>
      </c>
      <c r="L9" s="364">
        <f>'6. DL finanšu_analīze'!K9*(1+'8. DL jut. analize-Fin.'!$F9)</f>
        <v>2000</v>
      </c>
      <c r="M9" s="364">
        <f>'6. DL finanšu_analīze'!L9*(1+'8. DL jut. analize-Fin.'!$F9)</f>
        <v>22000</v>
      </c>
      <c r="N9" s="364">
        <f>'6. DL finanšu_analīze'!M9*(1+'8. DL jut. analize-Fin.'!$F9)</f>
        <v>2000</v>
      </c>
      <c r="O9" s="364">
        <f>'6. DL finanšu_analīze'!N9*(1+'8. DL jut. analize-Fin.'!$F9)</f>
        <v>2000</v>
      </c>
      <c r="P9" s="364">
        <f>'6. DL finanšu_analīze'!O9*(1+'8. DL jut. analize-Fin.'!$F9)</f>
        <v>1000</v>
      </c>
      <c r="Q9" s="364">
        <f>'6. DL finanšu_analīze'!P9*(1+'8. DL jut. analize-Fin.'!$F9)</f>
        <v>1000</v>
      </c>
      <c r="R9" s="364">
        <f>'6. DL finanšu_analīze'!Q9*(1+'8. DL jut. analize-Fin.'!$F9)</f>
        <v>21000</v>
      </c>
      <c r="S9" s="364">
        <f>'6. DL finanšu_analīze'!R9*(1+'8. DL jut. analize-Fin.'!$F9)</f>
        <v>1000</v>
      </c>
      <c r="T9" s="364">
        <f>'6. DL finanšu_analīze'!S9*(1+'8. DL jut. analize-Fin.'!$F9)</f>
        <v>1000</v>
      </c>
      <c r="U9" s="364">
        <f>'6. DL finanšu_analīze'!T9*(1+'8. DL jut. analize-Fin.'!$F9)</f>
        <v>1000</v>
      </c>
      <c r="V9" s="364">
        <f>'6. DL finanšu_analīze'!U9*(1+'8. DL jut. analize-Fin.'!$F9)</f>
        <v>1000</v>
      </c>
      <c r="W9" s="364">
        <f>'6. DL finanšu_analīze'!V9*(1+'8. DL jut. analize-Fin.'!$F9)</f>
        <v>1000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c r="A10" s="365"/>
      <c r="B10" s="29" t="s">
        <v>104</v>
      </c>
      <c r="C10" s="29" t="s">
        <v>238</v>
      </c>
      <c r="D10" s="29"/>
      <c r="E10" s="366" t="s">
        <v>133</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c r="A11" s="365"/>
      <c r="B11" s="29" t="s">
        <v>106</v>
      </c>
      <c r="C11" s="29" t="s">
        <v>287</v>
      </c>
      <c r="D11" s="29"/>
      <c r="E11" s="366" t="s">
        <v>133</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c r="A12" s="365"/>
      <c r="B12" s="29" t="s">
        <v>109</v>
      </c>
      <c r="C12" s="29" t="s">
        <v>288</v>
      </c>
      <c r="D12" s="29"/>
      <c r="E12" s="366" t="s">
        <v>133</v>
      </c>
      <c r="F12" s="45">
        <v>0</v>
      </c>
      <c r="G12" s="331">
        <f t="shared" si="0"/>
        <v>-748650</v>
      </c>
      <c r="H12" s="331">
        <f t="shared" si="1"/>
        <v>-749800</v>
      </c>
      <c r="I12" s="364">
        <f>'6. DL finanšu_analīze'!H12*(1+'8. DL jut. analize-Fin.'!$F12)</f>
        <v>-719900</v>
      </c>
      <c r="J12" s="364">
        <f>'6. DL finanšu_analīze'!I12*(1+'8. DL jut. analize-Fin.'!$F12)</f>
        <v>-29900</v>
      </c>
      <c r="K12" s="364">
        <f>'6. DL finanšu_analīze'!J12*(1+'8. DL jut. analize-Fin.'!$F12)</f>
        <v>0</v>
      </c>
      <c r="L12" s="364">
        <f>'6. DL finanšu_analīze'!K12*(1+'8. DL jut. analize-Fin.'!$F12)</f>
        <v>0</v>
      </c>
      <c r="M12" s="364">
        <f>'6. DL finanšu_analīze'!L12*(1+'8. DL jut. analize-Fin.'!$F12)</f>
        <v>0</v>
      </c>
      <c r="N12" s="364">
        <f>'6. DL finanšu_analīze'!M12*(1+'8. DL jut. analize-Fin.'!$F12)</f>
        <v>0</v>
      </c>
      <c r="O12" s="364">
        <f>'6. DL finanšu_analīze'!N12*(1+'8. DL jut. analize-Fin.'!$F12)</f>
        <v>0</v>
      </c>
      <c r="P12" s="364">
        <f>'6. DL finanšu_analīze'!O12*(1+'8. DL jut. analize-Fin.'!$F12)</f>
        <v>0</v>
      </c>
      <c r="Q12" s="364">
        <f>'6. DL finanšu_analīze'!P12*(1+'8. DL jut. analize-Fin.'!$F12)</f>
        <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c r="A13" s="265"/>
      <c r="B13" s="203" t="s">
        <v>114</v>
      </c>
      <c r="C13" s="203" t="s">
        <v>200</v>
      </c>
      <c r="D13" s="203"/>
      <c r="E13" s="398" t="s">
        <v>133</v>
      </c>
      <c r="F13" s="205"/>
      <c r="G13" s="341">
        <f t="shared" si="0"/>
        <v>-655498.91505588323</v>
      </c>
      <c r="H13" s="341">
        <f t="shared" si="1"/>
        <v>-609800</v>
      </c>
      <c r="I13" s="399">
        <f>SUM(I7:I12)</f>
        <v>-719900</v>
      </c>
      <c r="J13" s="399">
        <f t="shared" ref="J13:AL13" si="2">SUM(J7:J12)</f>
        <v>-27900</v>
      </c>
      <c r="K13" s="399">
        <f t="shared" si="2"/>
        <v>2000</v>
      </c>
      <c r="L13" s="399">
        <f t="shared" si="2"/>
        <v>2000</v>
      </c>
      <c r="M13" s="399">
        <f t="shared" si="2"/>
        <v>22000</v>
      </c>
      <c r="N13" s="399">
        <f t="shared" si="2"/>
        <v>2000</v>
      </c>
      <c r="O13" s="399">
        <f t="shared" si="2"/>
        <v>2000</v>
      </c>
      <c r="P13" s="399">
        <f t="shared" si="2"/>
        <v>1000</v>
      </c>
      <c r="Q13" s="399">
        <f t="shared" si="2"/>
        <v>1000</v>
      </c>
      <c r="R13" s="399">
        <f t="shared" si="2"/>
        <v>21000</v>
      </c>
      <c r="S13" s="399">
        <f t="shared" si="2"/>
        <v>1000</v>
      </c>
      <c r="T13" s="399">
        <f t="shared" si="2"/>
        <v>1000</v>
      </c>
      <c r="U13" s="399">
        <f t="shared" si="2"/>
        <v>1000</v>
      </c>
      <c r="V13" s="399">
        <f t="shared" si="2"/>
        <v>1000</v>
      </c>
      <c r="W13" s="399">
        <f t="shared" si="2"/>
        <v>81000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8">
        <v>2</v>
      </c>
      <c r="B15" s="269" t="s">
        <v>270</v>
      </c>
      <c r="C15" s="269"/>
      <c r="D15" s="269"/>
      <c r="E15" s="269"/>
      <c r="F15" s="269"/>
      <c r="G15" s="576" t="s">
        <v>304</v>
      </c>
      <c r="H15" s="577"/>
      <c r="I15" s="577" t="s">
        <v>305</v>
      </c>
      <c r="J15" s="577"/>
      <c r="K15" s="577" t="s">
        <v>306</v>
      </c>
      <c r="L15" s="578"/>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c r="A16" s="360"/>
      <c r="B16" s="361" t="s">
        <v>194</v>
      </c>
      <c r="C16" s="361" t="s">
        <v>289</v>
      </c>
      <c r="D16" s="361"/>
      <c r="E16" s="372"/>
      <c r="F16" s="326"/>
      <c r="G16" s="400">
        <f>'6. DL finanšu_analīze'!I16</f>
        <v>-655498.91505588323</v>
      </c>
      <c r="H16" s="326"/>
      <c r="I16" s="373">
        <f>G13</f>
        <v>-655498.91505588323</v>
      </c>
      <c r="K16" s="574">
        <f>I16/G16-1</f>
        <v>0</v>
      </c>
      <c r="L16" s="575"/>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c r="A17" s="268"/>
      <c r="B17" s="269"/>
      <c r="C17" s="269"/>
      <c r="D17" s="269"/>
      <c r="E17" s="269"/>
      <c r="F17" s="269"/>
      <c r="G17" s="269"/>
      <c r="H17" s="269"/>
      <c r="I17" s="269"/>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43" s="226" customFormat="1" ht="24.95" customHeight="1">
      <c r="A18" s="572" t="s">
        <v>292</v>
      </c>
      <c r="B18" s="572"/>
      <c r="C18" s="572"/>
      <c r="D18" s="572"/>
      <c r="E18" s="572"/>
      <c r="F18" s="572"/>
      <c r="G18" s="572"/>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6" customFormat="1" ht="12.75" customHeight="1">
      <c r="A19" s="378"/>
      <c r="B19" s="288"/>
      <c r="C19" s="192"/>
      <c r="D19" s="198"/>
      <c r="E19" s="199"/>
      <c r="F19" s="199"/>
      <c r="G19" s="322" t="s">
        <v>245</v>
      </c>
      <c r="H19" s="323"/>
      <c r="I19" s="290">
        <f t="shared" ref="I19:AL19" si="3">I5</f>
        <v>1</v>
      </c>
      <c r="J19" s="290">
        <f t="shared" si="3"/>
        <v>2</v>
      </c>
      <c r="K19" s="290">
        <f t="shared" si="3"/>
        <v>3</v>
      </c>
      <c r="L19" s="290">
        <f t="shared" si="3"/>
        <v>4</v>
      </c>
      <c r="M19" s="290">
        <f t="shared" si="3"/>
        <v>5</v>
      </c>
      <c r="N19" s="290">
        <f t="shared" si="3"/>
        <v>6</v>
      </c>
      <c r="O19" s="290">
        <f t="shared" si="3"/>
        <v>7</v>
      </c>
      <c r="P19" s="290">
        <f t="shared" si="3"/>
        <v>8</v>
      </c>
      <c r="Q19" s="290">
        <f t="shared" si="3"/>
        <v>9</v>
      </c>
      <c r="R19" s="290">
        <f t="shared" si="3"/>
        <v>10</v>
      </c>
      <c r="S19" s="290">
        <f t="shared" si="3"/>
        <v>11</v>
      </c>
      <c r="T19" s="290">
        <f t="shared" si="3"/>
        <v>12</v>
      </c>
      <c r="U19" s="290">
        <f t="shared" si="3"/>
        <v>13</v>
      </c>
      <c r="V19" s="290">
        <f t="shared" si="3"/>
        <v>14</v>
      </c>
      <c r="W19" s="290">
        <f t="shared" si="3"/>
        <v>15</v>
      </c>
      <c r="X19" s="290">
        <f t="shared" si="3"/>
        <v>16</v>
      </c>
      <c r="Y19" s="290">
        <f t="shared" si="3"/>
        <v>17</v>
      </c>
      <c r="Z19" s="290">
        <f t="shared" si="3"/>
        <v>18</v>
      </c>
      <c r="AA19" s="290">
        <f t="shared" si="3"/>
        <v>19</v>
      </c>
      <c r="AB19" s="290">
        <f t="shared" si="3"/>
        <v>20</v>
      </c>
      <c r="AC19" s="290">
        <f t="shared" si="3"/>
        <v>21</v>
      </c>
      <c r="AD19" s="290">
        <f t="shared" si="3"/>
        <v>22</v>
      </c>
      <c r="AE19" s="290">
        <f t="shared" si="3"/>
        <v>23</v>
      </c>
      <c r="AF19" s="290">
        <f t="shared" si="3"/>
        <v>24</v>
      </c>
      <c r="AG19" s="290">
        <f t="shared" si="3"/>
        <v>25</v>
      </c>
      <c r="AH19" s="290">
        <f t="shared" si="3"/>
        <v>26</v>
      </c>
      <c r="AI19" s="290">
        <f t="shared" si="3"/>
        <v>27</v>
      </c>
      <c r="AJ19" s="290">
        <f t="shared" si="3"/>
        <v>28</v>
      </c>
      <c r="AK19" s="290">
        <f t="shared" si="3"/>
        <v>29</v>
      </c>
      <c r="AL19" s="290">
        <f t="shared" si="3"/>
        <v>30</v>
      </c>
      <c r="AM19" s="29"/>
    </row>
    <row r="20" spans="1:43" s="226" customFormat="1" ht="12.75">
      <c r="A20" s="358">
        <v>3</v>
      </c>
      <c r="B20" s="314" t="s">
        <v>191</v>
      </c>
      <c r="C20" s="314"/>
      <c r="D20" s="203"/>
      <c r="E20" s="204" t="s">
        <v>189</v>
      </c>
      <c r="F20" s="204"/>
      <c r="G20" s="359" t="s">
        <v>190</v>
      </c>
      <c r="H20" s="359" t="s">
        <v>190</v>
      </c>
      <c r="I20" s="291">
        <f t="shared" ref="I20:AL20" si="4">I6</f>
        <v>2024</v>
      </c>
      <c r="J20" s="291">
        <f t="shared" si="4"/>
        <v>2025</v>
      </c>
      <c r="K20" s="291">
        <f t="shared" si="4"/>
        <v>2026</v>
      </c>
      <c r="L20" s="291">
        <f t="shared" si="4"/>
        <v>2027</v>
      </c>
      <c r="M20" s="291">
        <f t="shared" si="4"/>
        <v>2028</v>
      </c>
      <c r="N20" s="291">
        <f t="shared" si="4"/>
        <v>2029</v>
      </c>
      <c r="O20" s="291">
        <f t="shared" si="4"/>
        <v>2030</v>
      </c>
      <c r="P20" s="291">
        <f t="shared" si="4"/>
        <v>2031</v>
      </c>
      <c r="Q20" s="291">
        <f t="shared" si="4"/>
        <v>2032</v>
      </c>
      <c r="R20" s="291">
        <f t="shared" si="4"/>
        <v>2033</v>
      </c>
      <c r="S20" s="291">
        <f t="shared" si="4"/>
        <v>2034</v>
      </c>
      <c r="T20" s="291">
        <f t="shared" si="4"/>
        <v>2035</v>
      </c>
      <c r="U20" s="291">
        <f t="shared" si="4"/>
        <v>2036</v>
      </c>
      <c r="V20" s="291">
        <f t="shared" si="4"/>
        <v>2037</v>
      </c>
      <c r="W20" s="291">
        <f t="shared" si="4"/>
        <v>2038</v>
      </c>
      <c r="X20" s="291">
        <f t="shared" si="4"/>
        <v>2039</v>
      </c>
      <c r="Y20" s="291">
        <f t="shared" si="4"/>
        <v>2040</v>
      </c>
      <c r="Z20" s="291">
        <f t="shared" si="4"/>
        <v>2041</v>
      </c>
      <c r="AA20" s="291">
        <f t="shared" si="4"/>
        <v>2042</v>
      </c>
      <c r="AB20" s="291">
        <f t="shared" si="4"/>
        <v>2043</v>
      </c>
      <c r="AC20" s="291">
        <f t="shared" si="4"/>
        <v>2044</v>
      </c>
      <c r="AD20" s="291">
        <f t="shared" si="4"/>
        <v>2045</v>
      </c>
      <c r="AE20" s="291">
        <f t="shared" si="4"/>
        <v>2046</v>
      </c>
      <c r="AF20" s="291">
        <f t="shared" si="4"/>
        <v>2047</v>
      </c>
      <c r="AG20" s="291">
        <f t="shared" si="4"/>
        <v>2048</v>
      </c>
      <c r="AH20" s="291">
        <f t="shared" si="4"/>
        <v>2049</v>
      </c>
      <c r="AI20" s="291">
        <f t="shared" si="4"/>
        <v>2050</v>
      </c>
      <c r="AJ20" s="291">
        <f t="shared" si="4"/>
        <v>2051</v>
      </c>
      <c r="AK20" s="291">
        <f t="shared" si="4"/>
        <v>2052</v>
      </c>
      <c r="AL20" s="291">
        <f t="shared" si="4"/>
        <v>2053</v>
      </c>
      <c r="AM20" s="29"/>
      <c r="AN20" s="267"/>
      <c r="AO20" s="267"/>
      <c r="AP20" s="267"/>
      <c r="AQ20" s="267"/>
    </row>
    <row r="21" spans="1:43" s="29" customFormat="1" ht="12.75">
      <c r="A21" s="360"/>
      <c r="B21" s="379" t="s">
        <v>211</v>
      </c>
      <c r="C21" s="361" t="s">
        <v>227</v>
      </c>
      <c r="D21" s="361"/>
      <c r="E21" s="380" t="s">
        <v>133</v>
      </c>
      <c r="F21" s="45">
        <v>0</v>
      </c>
      <c r="G21" s="381">
        <f t="shared" ref="G21:G25" si="5">I21+NPV($E$3,J21:AL21)</f>
        <v>0</v>
      </c>
      <c r="H21" s="331">
        <f>SUM(I21:AL21)</f>
        <v>0</v>
      </c>
      <c r="I21" s="364">
        <f>'6. DL finanšu_analīze'!H22*(1+'8. DL jut. analize-Fin.'!$F21)</f>
        <v>0</v>
      </c>
      <c r="J21" s="364">
        <f>'6. DL finanšu_analīze'!I22*(1+'8. DL jut. analize-Fin.'!$F21)</f>
        <v>0</v>
      </c>
      <c r="K21" s="364">
        <f>'6. DL finanšu_analīze'!J22*(1+'8. DL jut. analize-Fin.'!$F21)</f>
        <v>0</v>
      </c>
      <c r="L21" s="364">
        <f>'6. DL finanšu_analīze'!K22*(1+'8. DL jut. analize-Fin.'!$F21)</f>
        <v>0</v>
      </c>
      <c r="M21" s="364">
        <f>'6. DL finanšu_analīze'!L22*(1+'8. DL jut. analize-Fin.'!$F21)</f>
        <v>0</v>
      </c>
      <c r="N21" s="364">
        <f>'6. DL finanšu_analīze'!M22*(1+'8. DL jut. analize-Fin.'!$F21)</f>
        <v>0</v>
      </c>
      <c r="O21" s="364">
        <f>'6. DL finanšu_analīze'!N22*(1+'8. DL jut. analize-Fin.'!$F21)</f>
        <v>0</v>
      </c>
      <c r="P21" s="364">
        <f>'6. DL finanšu_analīze'!O22*(1+'8. DL jut. analize-Fin.'!$F21)</f>
        <v>0</v>
      </c>
      <c r="Q21" s="364">
        <f>'6. DL finanšu_analīze'!P22*(1+'8. DL jut. analize-Fin.'!$F21)</f>
        <v>0</v>
      </c>
      <c r="R21" s="364">
        <f>'6. DL finanšu_analīze'!Q22*(1+'8. DL jut. analize-Fin.'!$F21)</f>
        <v>0</v>
      </c>
      <c r="S21" s="364">
        <f>'6. DL finanšu_analīze'!R22*(1+'8. DL jut. analize-Fin.'!$F21)</f>
        <v>0</v>
      </c>
      <c r="T21" s="364">
        <f>'6. DL finanšu_analīze'!S22*(1+'8. DL jut. analize-Fin.'!$F21)</f>
        <v>0</v>
      </c>
      <c r="U21" s="364">
        <f>'6. DL finanšu_analīze'!T22*(1+'8. DL jut. analize-Fin.'!$F21)</f>
        <v>0</v>
      </c>
      <c r="V21" s="364">
        <f>'6. DL finanšu_analīze'!U22*(1+'8. DL jut. analize-Fin.'!$F21)</f>
        <v>0</v>
      </c>
      <c r="W21" s="364">
        <f>'6. DL finanšu_analīze'!V22*(1+'8. DL jut. analize-Fin.'!$F21)</f>
        <v>0</v>
      </c>
      <c r="X21" s="364">
        <f>'6. DL finanšu_analīze'!W22*(1+'8. DL jut. analize-Fin.'!$F21)</f>
        <v>0</v>
      </c>
      <c r="Y21" s="364">
        <f>'6. DL finanšu_analīze'!X22*(1+'8. DL jut. analize-Fin.'!$F21)</f>
        <v>0</v>
      </c>
      <c r="Z21" s="364">
        <f>'6. DL finanšu_analīze'!Y22*(1+'8. DL jut. analize-Fin.'!$F21)</f>
        <v>0</v>
      </c>
      <c r="AA21" s="364">
        <f>'6. DL finanšu_analīze'!Z22*(1+'8. DL jut. analize-Fin.'!$F21)</f>
        <v>0</v>
      </c>
      <c r="AB21" s="364">
        <f>'6. DL finanšu_analīze'!AA22*(1+'8. DL jut. analize-Fin.'!$F21)</f>
        <v>0</v>
      </c>
      <c r="AC21" s="364">
        <f>'6. DL finanšu_analīze'!AB22*(1+'8. DL jut. analize-Fin.'!$F21)</f>
        <v>0</v>
      </c>
      <c r="AD21" s="364">
        <f>'6. DL finanšu_analīze'!AC22*(1+'8. DL jut. analize-Fin.'!$F21)</f>
        <v>0</v>
      </c>
      <c r="AE21" s="364">
        <f>'6. DL finanšu_analīze'!AD22*(1+'8. DL jut. analize-Fin.'!$F21)</f>
        <v>0</v>
      </c>
      <c r="AF21" s="364">
        <f>'6. DL finanšu_analīze'!AE22*(1+'8. DL jut. analize-Fin.'!$F21)</f>
        <v>0</v>
      </c>
      <c r="AG21" s="364">
        <f>'6. DL finanšu_analīze'!AF22*(1+'8. DL jut. analize-Fin.'!$F21)</f>
        <v>0</v>
      </c>
      <c r="AH21" s="364">
        <f>'6. DL finanšu_analīze'!AG22*(1+'8. DL jut. analize-Fin.'!$F21)</f>
        <v>0</v>
      </c>
      <c r="AI21" s="364">
        <f>'6. DL finanšu_analīze'!AH22*(1+'8. DL jut. analize-Fin.'!$F21)</f>
        <v>0</v>
      </c>
      <c r="AJ21" s="364">
        <f>'6. DL finanšu_analīze'!AI22*(1+'8. DL jut. analize-Fin.'!$F21)</f>
        <v>0</v>
      </c>
      <c r="AK21" s="364">
        <f>'6. DL finanšu_analīze'!AJ22*(1+'8. DL jut. analize-Fin.'!$F21)</f>
        <v>0</v>
      </c>
      <c r="AL21" s="364">
        <f>'6. DL finanšu_analīze'!AK22*(1+'8. DL jut. analize-Fin.'!$F21)</f>
        <v>0</v>
      </c>
      <c r="AM21" s="383" t="e">
        <v>#REF!</v>
      </c>
      <c r="AN21" s="384"/>
    </row>
    <row r="22" spans="1:43" s="29" customFormat="1" ht="12.75">
      <c r="A22" s="365"/>
      <c r="B22" s="385" t="s">
        <v>217</v>
      </c>
      <c r="C22" s="29" t="s">
        <v>286</v>
      </c>
      <c r="E22" s="33" t="s">
        <v>133</v>
      </c>
      <c r="F22" s="45">
        <v>0</v>
      </c>
      <c r="G22" s="381">
        <f t="shared" si="5"/>
        <v>46953.078318372311</v>
      </c>
      <c r="H22" s="331">
        <f t="shared" ref="H22:H25" si="6">SUM(I22:AL22)</f>
        <v>60000</v>
      </c>
      <c r="I22" s="364">
        <f>'6. DL finanšu_analīze'!H23*(1+'8. DL jut. analize-Fin.'!$F22)</f>
        <v>0</v>
      </c>
      <c r="J22" s="364">
        <f>'6. DL finanšu_analīze'!I23*(1+'8. DL jut. analize-Fin.'!$F22)</f>
        <v>2000</v>
      </c>
      <c r="K22" s="364">
        <f>'6. DL finanšu_analīze'!J23*(1+'8. DL jut. analize-Fin.'!$F22)</f>
        <v>2000</v>
      </c>
      <c r="L22" s="364">
        <f>'6. DL finanšu_analīze'!K23*(1+'8. DL jut. analize-Fin.'!$F22)</f>
        <v>2000</v>
      </c>
      <c r="M22" s="364">
        <f>'6. DL finanšu_analīze'!L23*(1+'8. DL jut. analize-Fin.'!$F22)</f>
        <v>22000</v>
      </c>
      <c r="N22" s="364">
        <f>'6. DL finanšu_analīze'!M23*(1+'8. DL jut. analize-Fin.'!$F22)</f>
        <v>2000</v>
      </c>
      <c r="O22" s="364">
        <f>'6. DL finanšu_analīze'!N23*(1+'8. DL jut. analize-Fin.'!$F22)</f>
        <v>2000</v>
      </c>
      <c r="P22" s="364">
        <f>'6. DL finanšu_analīze'!O23*(1+'8. DL jut. analize-Fin.'!$F22)</f>
        <v>1000</v>
      </c>
      <c r="Q22" s="364">
        <f>'6. DL finanšu_analīze'!P23*(1+'8. DL jut. analize-Fin.'!$F22)</f>
        <v>1000</v>
      </c>
      <c r="R22" s="364">
        <f>'6. DL finanšu_analīze'!Q23*(1+'8. DL jut. analize-Fin.'!$F22)</f>
        <v>21000</v>
      </c>
      <c r="S22" s="364">
        <f>'6. DL finanšu_analīze'!R23*(1+'8. DL jut. analize-Fin.'!$F22)</f>
        <v>1000</v>
      </c>
      <c r="T22" s="364">
        <f>'6. DL finanšu_analīze'!S23*(1+'8. DL jut. analize-Fin.'!$F22)</f>
        <v>1000</v>
      </c>
      <c r="U22" s="364">
        <f>'6. DL finanšu_analīze'!T23*(1+'8. DL jut. analize-Fin.'!$F22)</f>
        <v>1000</v>
      </c>
      <c r="V22" s="364">
        <f>'6. DL finanšu_analīze'!U23*(1+'8. DL jut. analize-Fin.'!$F22)</f>
        <v>1000</v>
      </c>
      <c r="W22" s="364">
        <f>'6. DL finanšu_analīze'!V23*(1+'8. DL jut. analize-Fin.'!$F22)</f>
        <v>1000</v>
      </c>
      <c r="X22" s="364">
        <f>'6. DL finanšu_analīze'!W23*(1+'8. DL jut. analize-Fin.'!$F22)</f>
        <v>0</v>
      </c>
      <c r="Y22" s="364">
        <f>'6. DL finanšu_analīze'!X23*(1+'8. DL jut. analize-Fin.'!$F22)</f>
        <v>0</v>
      </c>
      <c r="Z22" s="364">
        <f>'6. DL finanšu_analīze'!Y23*(1+'8. DL jut. analize-Fin.'!$F22)</f>
        <v>0</v>
      </c>
      <c r="AA22" s="364">
        <f>'6. DL finanšu_analīze'!Z23*(1+'8. DL jut. analize-Fin.'!$F22)</f>
        <v>0</v>
      </c>
      <c r="AB22" s="364">
        <f>'6. DL finanšu_analīze'!AA23*(1+'8. DL jut. analize-Fin.'!$F22)</f>
        <v>0</v>
      </c>
      <c r="AC22" s="364">
        <f>'6. DL finanšu_analīze'!AB23*(1+'8. DL jut. analize-Fin.'!$F22)</f>
        <v>0</v>
      </c>
      <c r="AD22" s="364">
        <f>'6. DL finanšu_analīze'!AC23*(1+'8. DL jut. analize-Fin.'!$F22)</f>
        <v>0</v>
      </c>
      <c r="AE22" s="364">
        <f>'6. DL finanšu_analīze'!AD23*(1+'8. DL jut. analize-Fin.'!$F22)</f>
        <v>0</v>
      </c>
      <c r="AF22" s="364">
        <f>'6. DL finanšu_analīze'!AE23*(1+'8. DL jut. analize-Fin.'!$F22)</f>
        <v>0</v>
      </c>
      <c r="AG22" s="364">
        <f>'6. DL finanšu_analīze'!AF23*(1+'8. DL jut. analize-Fin.'!$F22)</f>
        <v>0</v>
      </c>
      <c r="AH22" s="364">
        <f>'6. DL finanšu_analīze'!AG23*(1+'8. DL jut. analize-Fin.'!$F22)</f>
        <v>0</v>
      </c>
      <c r="AI22" s="364">
        <f>'6. DL finanšu_analīze'!AH23*(1+'8. DL jut. analize-Fin.'!$F22)</f>
        <v>0</v>
      </c>
      <c r="AJ22" s="364">
        <f>'6. DL finanšu_analīze'!AI23*(1+'8. DL jut. analize-Fin.'!$F22)</f>
        <v>0</v>
      </c>
      <c r="AK22" s="364">
        <f>'6. DL finanšu_analīze'!AJ23*(1+'8. DL jut. analize-Fin.'!$F22)</f>
        <v>0</v>
      </c>
      <c r="AL22" s="364">
        <f>'6. DL finanšu_analīze'!AK23*(1+'8. DL jut. analize-Fin.'!$F22)</f>
        <v>0</v>
      </c>
      <c r="AM22" s="383" t="e">
        <v>#REF!</v>
      </c>
    </row>
    <row r="23" spans="1:43" s="343" customFormat="1" ht="12.75">
      <c r="A23" s="324"/>
      <c r="B23" s="385" t="s">
        <v>252</v>
      </c>
      <c r="C23" s="385" t="s">
        <v>307</v>
      </c>
      <c r="D23" s="44"/>
      <c r="E23" s="387" t="s">
        <v>133</v>
      </c>
      <c r="F23" s="45">
        <v>0</v>
      </c>
      <c r="G23" s="381">
        <f t="shared" si="5"/>
        <v>-1252961.5384615385</v>
      </c>
      <c r="H23" s="331">
        <f t="shared" si="6"/>
        <v>-1254000</v>
      </c>
      <c r="I23" s="364">
        <f>'6. DL finanšu_analīze'!H24*(1+'8. DL jut. analize-Fin.'!$F23)</f>
        <v>-1227000</v>
      </c>
      <c r="J23" s="364">
        <f>'6. DL finanšu_analīze'!I24*(1+'8. DL jut. analize-Fin.'!$F23)</f>
        <v>-27000</v>
      </c>
      <c r="K23" s="364">
        <f>'6. DL finanšu_analīze'!J24*(1+'8. DL jut. analize-Fin.'!$F23)</f>
        <v>0</v>
      </c>
      <c r="L23" s="364">
        <f>'6. DL finanšu_analīze'!K24*(1+'8. DL jut. analize-Fin.'!$F23)</f>
        <v>0</v>
      </c>
      <c r="M23" s="364">
        <f>'6. DL finanšu_analīze'!L24*(1+'8. DL jut. analize-Fin.'!$F23)</f>
        <v>0</v>
      </c>
      <c r="N23" s="364">
        <f>'6. DL finanšu_analīze'!M24*(1+'8. DL jut. analize-Fin.'!$F23)</f>
        <v>0</v>
      </c>
      <c r="O23" s="364">
        <f>'6. DL finanšu_analīze'!N24*(1+'8. DL jut. analize-Fin.'!$F23)</f>
        <v>0</v>
      </c>
      <c r="P23" s="364">
        <f>'6. DL finanšu_analīze'!O24*(1+'8. DL jut. analize-Fin.'!$F23)</f>
        <v>0</v>
      </c>
      <c r="Q23" s="364">
        <f>'6. DL finanšu_analīze'!P24*(1+'8. DL jut. analize-Fin.'!$F23)</f>
        <v>0</v>
      </c>
      <c r="R23" s="364">
        <f>'6. DL finanšu_analīze'!Q24*(1+'8. DL jut. analize-Fin.'!$F23)</f>
        <v>0</v>
      </c>
      <c r="S23" s="364">
        <f>'6. DL finanšu_analīze'!R24*(1+'8. DL jut. analize-Fin.'!$F23)</f>
        <v>0</v>
      </c>
      <c r="T23" s="364">
        <f>'6. DL finanšu_analīze'!S24*(1+'8. DL jut. analize-Fin.'!$F23)</f>
        <v>0</v>
      </c>
      <c r="U23" s="364">
        <f>'6. DL finanšu_analīze'!T24*(1+'8. DL jut. analize-Fin.'!$F23)</f>
        <v>0</v>
      </c>
      <c r="V23" s="364">
        <f>'6. DL finanšu_analīze'!U24*(1+'8. DL jut. analize-Fin.'!$F23)</f>
        <v>0</v>
      </c>
      <c r="W23" s="364">
        <f>'6. DL finanšu_analīze'!V24*(1+'8. DL jut. analize-Fin.'!$F23)</f>
        <v>0</v>
      </c>
      <c r="X23" s="364">
        <f>'6. DL finanšu_analīze'!W24*(1+'8. DL jut. analize-Fin.'!$F23)</f>
        <v>0</v>
      </c>
      <c r="Y23" s="364">
        <f>'6. DL finanšu_analīze'!X24*(1+'8. DL jut. analize-Fin.'!$F23)</f>
        <v>0</v>
      </c>
      <c r="Z23" s="364">
        <f>'6. DL finanšu_analīze'!Y24*(1+'8. DL jut. analize-Fin.'!$F23)</f>
        <v>0</v>
      </c>
      <c r="AA23" s="364">
        <f>'6. DL finanšu_analīze'!Z24*(1+'8. DL jut. analize-Fin.'!$F23)</f>
        <v>0</v>
      </c>
      <c r="AB23" s="364">
        <f>'6. DL finanšu_analīze'!AA24*(1+'8. DL jut. analize-Fin.'!$F23)</f>
        <v>0</v>
      </c>
      <c r="AC23" s="364">
        <f>'6. DL finanšu_analīze'!AB24*(1+'8. DL jut. analize-Fin.'!$F23)</f>
        <v>0</v>
      </c>
      <c r="AD23" s="364">
        <f>'6. DL finanšu_analīze'!AC24*(1+'8. DL jut. analize-Fin.'!$F23)</f>
        <v>0</v>
      </c>
      <c r="AE23" s="364">
        <f>'6. DL finanšu_analīze'!AD24*(1+'8. DL jut. analize-Fin.'!$F23)</f>
        <v>0</v>
      </c>
      <c r="AF23" s="364">
        <f>'6. DL finanšu_analīze'!AE24*(1+'8. DL jut. analize-Fin.'!$F23)</f>
        <v>0</v>
      </c>
      <c r="AG23" s="364">
        <f>'6. DL finanšu_analīze'!AF24*(1+'8. DL jut. analize-Fin.'!$F23)</f>
        <v>0</v>
      </c>
      <c r="AH23" s="364">
        <f>'6. DL finanšu_analīze'!AG24*(1+'8. DL jut. analize-Fin.'!$F23)</f>
        <v>0</v>
      </c>
      <c r="AI23" s="364">
        <f>'6. DL finanšu_analīze'!AH24*(1+'8. DL jut. analize-Fin.'!$F23)</f>
        <v>0</v>
      </c>
      <c r="AJ23" s="364">
        <f>'6. DL finanšu_analīze'!AI24*(1+'8. DL jut. analize-Fin.'!$F23)</f>
        <v>0</v>
      </c>
      <c r="AK23" s="364">
        <f>'6. DL finanšu_analīze'!AJ24*(1+'8. DL jut. analize-Fin.'!$F23)</f>
        <v>0</v>
      </c>
      <c r="AL23" s="364">
        <f>'6. DL finanšu_analīze'!AK24*(1+'8. DL jut. analize-Fin.'!$F23)</f>
        <v>0</v>
      </c>
      <c r="AN23" s="389"/>
    </row>
    <row r="24" spans="1:43" s="325" customFormat="1" ht="12.75">
      <c r="A24" s="390"/>
      <c r="B24" s="29" t="s">
        <v>253</v>
      </c>
      <c r="C24" s="385" t="s">
        <v>223</v>
      </c>
      <c r="D24" s="385"/>
      <c r="E24" s="33" t="s">
        <v>133</v>
      </c>
      <c r="F24" s="45">
        <v>0</v>
      </c>
      <c r="G24" s="381">
        <f t="shared" si="5"/>
        <v>46198.006625744456</v>
      </c>
      <c r="H24" s="331">
        <f t="shared" si="6"/>
        <v>80000</v>
      </c>
      <c r="I24" s="364">
        <f>'6. DL finanšu_analīze'!H26*(1+'8. DL jut. analize-Fin.'!$F24)</f>
        <v>0</v>
      </c>
      <c r="J24" s="364">
        <f>'6. DL finanšu_analīze'!I26*(1+'8. DL jut. analize-Fin.'!$F24)</f>
        <v>0</v>
      </c>
      <c r="K24" s="364">
        <f>'6. DL finanšu_analīze'!J26*(1+'8. DL jut. analize-Fin.'!$F24)</f>
        <v>0</v>
      </c>
      <c r="L24" s="364">
        <f>'6. DL finanšu_analīze'!K26*(1+'8. DL jut. analize-Fin.'!$F24)</f>
        <v>0</v>
      </c>
      <c r="M24" s="364">
        <f>'6. DL finanšu_analīze'!L26*(1+'8. DL jut. analize-Fin.'!$F24)</f>
        <v>0</v>
      </c>
      <c r="N24" s="364">
        <f>'6. DL finanšu_analīze'!M26*(1+'8. DL jut. analize-Fin.'!$F24)</f>
        <v>0</v>
      </c>
      <c r="O24" s="364">
        <f>'6. DL finanšu_analīze'!N26*(1+'8. DL jut. analize-Fin.'!$F24)</f>
        <v>0</v>
      </c>
      <c r="P24" s="364">
        <f>'6. DL finanšu_analīze'!O26*(1+'8. DL jut. analize-Fin.'!$F24)</f>
        <v>0</v>
      </c>
      <c r="Q24" s="364">
        <f>'6. DL finanšu_analīze'!P26*(1+'8. DL jut. analize-Fin.'!$F24)</f>
        <v>0</v>
      </c>
      <c r="R24" s="364">
        <f>'6. DL finanšu_analīze'!Q26*(1+'8. DL jut. analize-Fin.'!$F24)</f>
        <v>0</v>
      </c>
      <c r="S24" s="364">
        <f>'6. DL finanšu_analīze'!R26*(1+'8. DL jut. analize-Fin.'!$F24)</f>
        <v>0</v>
      </c>
      <c r="T24" s="364">
        <f>'6. DL finanšu_analīze'!S26*(1+'8. DL jut. analize-Fin.'!$F24)</f>
        <v>0</v>
      </c>
      <c r="U24" s="364">
        <f>'6. DL finanšu_analīze'!T26*(1+'8. DL jut. analize-Fin.'!$F24)</f>
        <v>0</v>
      </c>
      <c r="V24" s="364">
        <f>'6. DL finanšu_analīze'!U26*(1+'8. DL jut. analize-Fin.'!$F24)</f>
        <v>0</v>
      </c>
      <c r="W24" s="364">
        <f>'6. DL finanšu_analīze'!V26*(1+'8. DL jut. analize-Fin.'!$F24)</f>
        <v>80000</v>
      </c>
      <c r="X24" s="364">
        <f>'6. DL finanšu_analīze'!W26*(1+'8. DL jut. analize-Fin.'!$F24)</f>
        <v>0</v>
      </c>
      <c r="Y24" s="364">
        <f>'6. DL finanšu_analīze'!X26*(1+'8. DL jut. analize-Fin.'!$F24)</f>
        <v>0</v>
      </c>
      <c r="Z24" s="364">
        <f>'6. DL finanšu_analīze'!Y26*(1+'8. DL jut. analize-Fin.'!$F24)</f>
        <v>0</v>
      </c>
      <c r="AA24" s="364">
        <f>'6. DL finanšu_analīze'!Z26*(1+'8. DL jut. analize-Fin.'!$F24)</f>
        <v>0</v>
      </c>
      <c r="AB24" s="364">
        <f>'6. DL finanšu_analīze'!AA26*(1+'8. DL jut. analize-Fin.'!$F24)</f>
        <v>0</v>
      </c>
      <c r="AC24" s="364">
        <f>'6. DL finanšu_analīze'!AB26*(1+'8. DL jut. analize-Fin.'!$F24)</f>
        <v>0</v>
      </c>
      <c r="AD24" s="364">
        <f>'6. DL finanšu_analīze'!AC26*(1+'8. DL jut. analize-Fin.'!$F24)</f>
        <v>0</v>
      </c>
      <c r="AE24" s="364">
        <f>'6. DL finanšu_analīze'!AD26*(1+'8. DL jut. analize-Fin.'!$F24)</f>
        <v>0</v>
      </c>
      <c r="AF24" s="364">
        <f>'6. DL finanšu_analīze'!AE26*(1+'8. DL jut. analize-Fin.'!$F24)</f>
        <v>0</v>
      </c>
      <c r="AG24" s="364">
        <f>'6. DL finanšu_analīze'!AF26*(1+'8. DL jut. analize-Fin.'!$F24)</f>
        <v>0</v>
      </c>
      <c r="AH24" s="364">
        <f>'6. DL finanšu_analīze'!AG26*(1+'8. DL jut. analize-Fin.'!$F24)</f>
        <v>0</v>
      </c>
      <c r="AI24" s="364">
        <f>'6. DL finanšu_analīze'!AH26*(1+'8. DL jut. analize-Fin.'!$F24)</f>
        <v>0</v>
      </c>
      <c r="AJ24" s="364">
        <f>'6. DL finanšu_analīze'!AI26*(1+'8. DL jut. analize-Fin.'!$F24)</f>
        <v>0</v>
      </c>
      <c r="AK24" s="364">
        <f>'6. DL finanšu_analīze'!AJ26*(1+'8. DL jut. analize-Fin.'!$F24)</f>
        <v>0</v>
      </c>
      <c r="AL24" s="364">
        <f>'6. DL finanšu_analīze'!AK26*(1+'8. DL jut. analize-Fin.'!$F24)</f>
        <v>0</v>
      </c>
      <c r="AM24" s="391"/>
    </row>
    <row r="25" spans="1:43" s="325" customFormat="1" ht="12.75">
      <c r="A25" s="401"/>
      <c r="B25" s="203" t="s">
        <v>254</v>
      </c>
      <c r="C25" s="203" t="s">
        <v>200</v>
      </c>
      <c r="D25" s="203"/>
      <c r="E25" s="205" t="s">
        <v>133</v>
      </c>
      <c r="F25" s="205"/>
      <c r="G25" s="402">
        <f t="shared" si="5"/>
        <v>-1159810.4535174216</v>
      </c>
      <c r="H25" s="341">
        <f t="shared" si="6"/>
        <v>-1114000</v>
      </c>
      <c r="I25" s="403">
        <f>I21+I22+I23+I24</f>
        <v>-1227000</v>
      </c>
      <c r="J25" s="403">
        <f t="shared" ref="J25:AL25" si="7">J21+J22+J23+J24</f>
        <v>-25000</v>
      </c>
      <c r="K25" s="403">
        <f>K21+K22+K23+K24</f>
        <v>2000</v>
      </c>
      <c r="L25" s="403">
        <f>L21+L22+L23+L24</f>
        <v>2000</v>
      </c>
      <c r="M25" s="403">
        <f t="shared" si="7"/>
        <v>22000</v>
      </c>
      <c r="N25" s="403">
        <f t="shared" si="7"/>
        <v>2000</v>
      </c>
      <c r="O25" s="403">
        <f t="shared" si="7"/>
        <v>2000</v>
      </c>
      <c r="P25" s="403">
        <f t="shared" si="7"/>
        <v>1000</v>
      </c>
      <c r="Q25" s="403">
        <f t="shared" si="7"/>
        <v>1000</v>
      </c>
      <c r="R25" s="403">
        <f t="shared" si="7"/>
        <v>21000</v>
      </c>
      <c r="S25" s="403">
        <f t="shared" si="7"/>
        <v>1000</v>
      </c>
      <c r="T25" s="403">
        <f t="shared" si="7"/>
        <v>1000</v>
      </c>
      <c r="U25" s="403">
        <f t="shared" si="7"/>
        <v>1000</v>
      </c>
      <c r="V25" s="403">
        <f t="shared" si="7"/>
        <v>1000</v>
      </c>
      <c r="W25" s="403">
        <f t="shared" si="7"/>
        <v>81000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8">
        <v>4</v>
      </c>
      <c r="B27" s="269" t="s">
        <v>270</v>
      </c>
      <c r="C27" s="269"/>
      <c r="D27" s="269"/>
      <c r="E27" s="269"/>
      <c r="F27" s="269"/>
      <c r="G27" s="576" t="s">
        <v>304</v>
      </c>
      <c r="H27" s="577"/>
      <c r="I27" s="577" t="s">
        <v>305</v>
      </c>
      <c r="J27" s="577"/>
      <c r="K27" s="577" t="s">
        <v>306</v>
      </c>
      <c r="L27" s="578"/>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row>
    <row r="28" spans="1:43">
      <c r="A28" s="360"/>
      <c r="B28" s="361" t="s">
        <v>222</v>
      </c>
      <c r="C28" s="361" t="str">
        <f>'6. DL finanšu_analīze'!C30</f>
        <v>Investīciju finansiālais neto tagadnes ienesīgums (FNPVc)</v>
      </c>
      <c r="D28" s="361"/>
      <c r="E28" s="372"/>
      <c r="F28" s="326"/>
      <c r="G28" s="400">
        <f>'6. DL finanšu_analīze'!I30</f>
        <v>-1159810.4535174216</v>
      </c>
      <c r="H28" s="326"/>
      <c r="I28" s="373">
        <f>G25</f>
        <v>-1159810.4535174216</v>
      </c>
      <c r="K28" s="574">
        <f>I28/G28-1</f>
        <v>0</v>
      </c>
      <c r="L28" s="575"/>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c r="A29" s="268"/>
      <c r="B29" s="269"/>
      <c r="C29" s="269"/>
      <c r="D29" s="269"/>
      <c r="E29" s="269"/>
      <c r="F29" s="269"/>
      <c r="G29" s="269"/>
      <c r="H29" s="269"/>
      <c r="I29" s="269"/>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81" t="s">
        <v>308</v>
      </c>
      <c r="B1" s="581"/>
      <c r="C1" s="581"/>
      <c r="D1" s="581"/>
      <c r="E1" s="404"/>
      <c r="F1" s="2"/>
      <c r="G1" s="2"/>
      <c r="H1" s="2"/>
      <c r="I1" s="2"/>
      <c r="J1" s="2"/>
      <c r="K1" s="2"/>
      <c r="L1" s="2"/>
      <c r="M1" s="2"/>
      <c r="N1" s="2"/>
      <c r="O1" s="2"/>
      <c r="P1" s="2"/>
      <c r="Q1" s="2"/>
      <c r="R1" s="2"/>
      <c r="S1" s="2"/>
      <c r="T1" s="2"/>
      <c r="U1" s="2"/>
    </row>
    <row r="2" spans="1:23" ht="24.95" customHeight="1">
      <c r="A2" s="405" t="s">
        <v>309</v>
      </c>
      <c r="B2" s="3"/>
      <c r="C2" s="3"/>
      <c r="D2" s="3"/>
      <c r="E2" s="3"/>
      <c r="F2" s="2"/>
      <c r="G2" s="2"/>
      <c r="H2" s="2"/>
      <c r="I2" s="2"/>
      <c r="J2" s="2"/>
      <c r="K2" s="2"/>
      <c r="L2" s="2"/>
      <c r="M2" s="2"/>
      <c r="N2" s="2"/>
      <c r="O2" s="2"/>
      <c r="P2" s="2"/>
      <c r="Q2" s="2"/>
      <c r="R2" s="2"/>
      <c r="S2" s="2"/>
      <c r="T2" s="2"/>
      <c r="U2" s="2"/>
    </row>
    <row r="3" spans="1:23">
      <c r="A3" s="406" t="s">
        <v>310</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c r="A4" s="408"/>
      <c r="B4" s="408" t="s">
        <v>311</v>
      </c>
      <c r="C4" s="408"/>
      <c r="D4" s="408" t="s">
        <v>311</v>
      </c>
      <c r="E4" s="408"/>
      <c r="F4" s="408" t="s">
        <v>311</v>
      </c>
      <c r="G4" s="408"/>
      <c r="H4" s="408" t="s">
        <v>311</v>
      </c>
      <c r="I4" s="408"/>
      <c r="J4" s="408" t="s">
        <v>311</v>
      </c>
      <c r="K4" s="408"/>
      <c r="L4" s="408" t="s">
        <v>311</v>
      </c>
      <c r="M4" s="408"/>
      <c r="N4" s="408" t="s">
        <v>311</v>
      </c>
      <c r="O4" s="408"/>
      <c r="P4" s="408" t="s">
        <v>311</v>
      </c>
      <c r="Q4" s="408"/>
      <c r="R4" s="408" t="s">
        <v>311</v>
      </c>
      <c r="S4" s="408"/>
      <c r="T4" s="408" t="s">
        <v>190</v>
      </c>
      <c r="U4" s="408" t="s">
        <v>134</v>
      </c>
    </row>
    <row r="5" spans="1:23">
      <c r="A5" s="60" t="str">
        <f>'9. DL PI Fin.plans'!A5</f>
        <v>Eiropas Reģionālās attīstības fonds</v>
      </c>
      <c r="B5" s="409">
        <f>SUM(B29,B45,B61,B77,B93,B109,B125,B141,B159,B175,B191,B207,B225,B257,B241,B273)</f>
        <v>1064200</v>
      </c>
      <c r="C5" s="409"/>
      <c r="D5" s="409">
        <f>SUM(D29,D45,D61,D77,D93,D109,D125,D141,D159,D175,D191,D207,D225,D257,D241,D273)</f>
        <v>44200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1108400</v>
      </c>
      <c r="U5" s="411">
        <f>T5/$T$12</f>
        <v>1</v>
      </c>
    </row>
    <row r="6" spans="1:23">
      <c r="A6" s="412" t="s">
        <v>232</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f t="shared" ref="U6:U12" si="1">T6/$T$12</f>
        <v>0</v>
      </c>
    </row>
    <row r="7" spans="1:23">
      <c r="A7" s="412" t="s">
        <v>233</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f t="shared" si="1"/>
        <v>0</v>
      </c>
    </row>
    <row r="8" spans="1:23">
      <c r="A8" s="412" t="s">
        <v>312</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f t="shared" si="1"/>
        <v>0</v>
      </c>
    </row>
    <row r="9" spans="1:23" s="3" customFormat="1">
      <c r="A9" s="412" t="s">
        <v>313</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f t="shared" si="1"/>
        <v>0</v>
      </c>
    </row>
    <row r="10" spans="1:23" ht="15" customHeight="1">
      <c r="A10" s="413" t="s">
        <v>314</v>
      </c>
      <c r="B10" s="311">
        <f>SUM(B5:B9)</f>
        <v>1064200</v>
      </c>
      <c r="C10" s="230"/>
      <c r="D10" s="230">
        <f>SUM(D5:D9)</f>
        <v>44200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1108400</v>
      </c>
      <c r="U10" s="415">
        <f t="shared" si="1"/>
        <v>1</v>
      </c>
    </row>
    <row r="11" spans="1:23" ht="15" customHeight="1">
      <c r="A11" s="412" t="s">
        <v>315</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f t="shared" si="1"/>
        <v>0</v>
      </c>
    </row>
    <row r="12" spans="1:23">
      <c r="A12" s="413" t="s">
        <v>316</v>
      </c>
      <c r="B12" s="416">
        <f>B10+B11</f>
        <v>1064200</v>
      </c>
      <c r="C12" s="230"/>
      <c r="D12" s="230">
        <f>D10+D11</f>
        <v>44200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1108400</v>
      </c>
      <c r="U12" s="415">
        <f t="shared" si="1"/>
        <v>1</v>
      </c>
      <c r="W12" s="4" t="str">
        <f>IF(T12='10. DL PI Budz.kops.'!C23,"Dati pareizi","Kļūda")</f>
        <v>Kļūda</v>
      </c>
    </row>
    <row r="13" spans="1:23">
      <c r="A13" s="412" t="s">
        <v>317</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318</v>
      </c>
    </row>
    <row r="14" spans="1:23">
      <c r="A14" s="412" t="s">
        <v>319</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318</v>
      </c>
    </row>
    <row r="15" spans="1:23" s="46" customFormat="1">
      <c r="A15" s="413" t="s">
        <v>320</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318</v>
      </c>
      <c r="W15" s="4" t="str">
        <f>IF(T15='10. DL PI Budz.kops.'!D23,"Dati pareizi","Kļūda")</f>
        <v>Dati pareizi</v>
      </c>
    </row>
    <row r="16" spans="1:23" ht="15">
      <c r="A16" s="418" t="s">
        <v>321</v>
      </c>
      <c r="B16" s="419">
        <f t="shared" ref="B16:R16" si="6">B12+B15</f>
        <v>1064200</v>
      </c>
      <c r="C16" s="420"/>
      <c r="D16" s="420">
        <f t="shared" si="6"/>
        <v>44200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1108400</v>
      </c>
      <c r="U16" s="417" t="s">
        <v>318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24"/>
      <c r="C18" s="424"/>
      <c r="D18" s="424"/>
      <c r="E18" s="424"/>
      <c r="F18" s="424"/>
      <c r="G18" s="424"/>
      <c r="H18" s="424"/>
      <c r="I18" s="424"/>
      <c r="J18" s="424"/>
      <c r="K18" s="424"/>
      <c r="L18" s="424"/>
      <c r="M18" s="424"/>
      <c r="N18" s="424"/>
      <c r="O18" s="424"/>
      <c r="P18" s="424"/>
      <c r="Q18" s="424"/>
      <c r="R18" s="424"/>
      <c r="S18" s="424"/>
      <c r="T18" s="424"/>
      <c r="U18" s="422"/>
    </row>
    <row r="19" spans="1:23" ht="15">
      <c r="A19" s="425"/>
      <c r="B19" s="424"/>
      <c r="C19" s="426"/>
      <c r="D19" s="582"/>
      <c r="E19" s="582"/>
      <c r="F19" s="582"/>
      <c r="G19" s="582"/>
      <c r="H19" s="582"/>
      <c r="I19" s="582"/>
      <c r="J19" s="582"/>
      <c r="K19" s="582"/>
      <c r="L19" s="582"/>
      <c r="M19" s="582"/>
      <c r="N19" s="582"/>
      <c r="O19" s="582"/>
      <c r="P19" s="582"/>
      <c r="Q19" s="582"/>
      <c r="R19" s="582"/>
      <c r="S19" s="582"/>
      <c r="T19" s="582"/>
      <c r="U19" s="582"/>
    </row>
    <row r="20" spans="1:23" ht="15.75" thickBot="1">
      <c r="A20" s="427"/>
      <c r="B20" s="428"/>
      <c r="C20" s="426"/>
      <c r="D20" s="583"/>
      <c r="E20" s="583"/>
      <c r="F20" s="583"/>
      <c r="G20" s="583"/>
      <c r="H20" s="583"/>
      <c r="I20" s="583"/>
      <c r="J20" s="583"/>
      <c r="K20" s="583"/>
      <c r="L20" s="583"/>
      <c r="M20" s="583"/>
      <c r="N20" s="583"/>
      <c r="O20" s="583"/>
      <c r="P20" s="583"/>
      <c r="Q20" s="583"/>
      <c r="R20" s="583"/>
      <c r="S20" s="583"/>
      <c r="T20" s="583"/>
      <c r="U20" s="583"/>
    </row>
    <row r="21" spans="1:23" ht="30" customHeight="1" thickTop="1" thickBot="1">
      <c r="A21" s="429" t="s">
        <v>322</v>
      </c>
      <c r="B21" s="430">
        <f>'9. DL PI Fin.plans'!B21</f>
        <v>0</v>
      </c>
      <c r="C21" s="431"/>
      <c r="D21" s="584" t="s">
        <v>323</v>
      </c>
      <c r="E21" s="584"/>
      <c r="F21" s="584"/>
      <c r="G21" s="584"/>
      <c r="H21" s="584"/>
      <c r="I21" s="584"/>
      <c r="J21" s="584"/>
      <c r="K21" s="584"/>
      <c r="L21" s="584"/>
      <c r="M21" s="584"/>
      <c r="N21" s="584"/>
      <c r="O21" s="584"/>
      <c r="P21" s="584"/>
      <c r="Q21" s="584"/>
      <c r="R21" s="584"/>
      <c r="S21" s="584"/>
      <c r="T21" s="584"/>
      <c r="U21" s="584"/>
    </row>
    <row r="22" spans="1:23" ht="12.75"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21">
      <c r="A25" s="405" t="s">
        <v>324</v>
      </c>
      <c r="B25" s="422"/>
      <c r="C25" s="422"/>
      <c r="F25" s="422"/>
      <c r="G25" s="422"/>
      <c r="H25" s="422"/>
      <c r="I25" s="422"/>
      <c r="N25" s="422"/>
      <c r="O25" s="422"/>
      <c r="P25" s="422"/>
      <c r="Q25" s="422"/>
      <c r="R25" s="422"/>
      <c r="S25" s="422"/>
      <c r="T25" s="433"/>
      <c r="U25" s="422"/>
    </row>
    <row r="26" spans="1:23" ht="24" customHeight="1">
      <c r="A26" s="434" t="s">
        <v>99</v>
      </c>
      <c r="B26" s="435">
        <f>'Dati par projektu'!$C$4</f>
        <v>0</v>
      </c>
      <c r="C26" s="436"/>
      <c r="D26" s="436"/>
      <c r="E26" s="436"/>
      <c r="F26" s="435" t="str">
        <f>'Dati par projektu'!$C$5</f>
        <v>Kapitālsabiedrība</v>
      </c>
      <c r="G26" s="436"/>
      <c r="H26" s="437"/>
      <c r="I26" s="437"/>
      <c r="J26" s="437" t="s">
        <v>325</v>
      </c>
      <c r="K26" s="438"/>
      <c r="L26" s="439">
        <f>'1.1.A. Iesniedzējs'!C24</f>
        <v>0.85</v>
      </c>
      <c r="M26" s="437"/>
      <c r="N26" s="440" t="s">
        <v>326</v>
      </c>
      <c r="O26" s="440"/>
      <c r="P26" s="440"/>
      <c r="Q26" s="440"/>
      <c r="R26" s="440"/>
      <c r="S26" s="440"/>
      <c r="T26" s="440"/>
      <c r="U26" s="440"/>
      <c r="W26" s="4">
        <f>IF(F26=Dati!$J$3,1,IF(F26=Dati!$J$4,2,IF(F26=Dati!$J$5,3,0)))</f>
        <v>3</v>
      </c>
    </row>
    <row r="27" spans="1:23">
      <c r="A27" s="406" t="s">
        <v>310</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c r="A28" s="441"/>
      <c r="B28" s="408" t="s">
        <v>311</v>
      </c>
      <c r="C28" s="408"/>
      <c r="D28" s="408" t="s">
        <v>311</v>
      </c>
      <c r="E28" s="408"/>
      <c r="F28" s="408" t="s">
        <v>311</v>
      </c>
      <c r="G28" s="408"/>
      <c r="H28" s="408" t="s">
        <v>311</v>
      </c>
      <c r="I28" s="408"/>
      <c r="J28" s="408" t="s">
        <v>311</v>
      </c>
      <c r="K28" s="408"/>
      <c r="L28" s="408" t="s">
        <v>311</v>
      </c>
      <c r="M28" s="408"/>
      <c r="N28" s="408" t="s">
        <v>311</v>
      </c>
      <c r="O28" s="408"/>
      <c r="P28" s="408" t="s">
        <v>311</v>
      </c>
      <c r="Q28" s="408"/>
      <c r="R28" s="408" t="s">
        <v>311</v>
      </c>
      <c r="S28" s="408"/>
      <c r="T28" s="408" t="s">
        <v>190</v>
      </c>
      <c r="U28" s="408" t="s">
        <v>134</v>
      </c>
    </row>
    <row r="29" spans="1:23" ht="12.75" customHeight="1">
      <c r="A29" s="442" t="str">
        <f>A$5</f>
        <v>Eiropas Reģionālās attīstības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c r="A30" s="412" t="str">
        <f>A$6</f>
        <v>Attiecināmais valsts budžeta finansējums</v>
      </c>
      <c r="B30" s="443">
        <f>IF($W26=2,B36-B29,0)</f>
        <v>0</v>
      </c>
      <c r="C30" s="443"/>
      <c r="D30" s="443">
        <f t="shared" ref="D30:R30" si="17">IF($W26=2,D36-D29,0)</f>
        <v>0</v>
      </c>
      <c r="E30" s="443"/>
      <c r="F30" s="443">
        <f t="shared" si="17"/>
        <v>0</v>
      </c>
      <c r="G30" s="443"/>
      <c r="H30" s="443">
        <f t="shared" si="17"/>
        <v>0</v>
      </c>
      <c r="I30" s="443"/>
      <c r="J30" s="443">
        <f t="shared" si="17"/>
        <v>0</v>
      </c>
      <c r="K30" s="443"/>
      <c r="L30" s="443">
        <f t="shared" si="17"/>
        <v>0</v>
      </c>
      <c r="M30" s="443"/>
      <c r="N30" s="443">
        <f t="shared" si="17"/>
        <v>0</v>
      </c>
      <c r="O30" s="443"/>
      <c r="P30" s="443">
        <f t="shared" si="17"/>
        <v>0</v>
      </c>
      <c r="Q30" s="443"/>
      <c r="R30" s="443">
        <f t="shared" si="17"/>
        <v>0</v>
      </c>
      <c r="S30" s="443"/>
      <c r="T30" s="410">
        <f t="shared" si="16"/>
        <v>0</v>
      </c>
      <c r="U30" s="411" t="e">
        <f t="shared" ref="U30:U36" si="18">T30/T$36</f>
        <v>#DIV/0!</v>
      </c>
    </row>
    <row r="31" spans="1:23" ht="12.75" customHeight="1">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18"/>
        <v>#DIV/0!</v>
      </c>
    </row>
    <row r="32" spans="1:23" ht="12.75" customHeight="1">
      <c r="A32" s="412" t="str">
        <f>A$8</f>
        <v>Pašvaldības finansējums</v>
      </c>
      <c r="B32" s="444">
        <f>IF($W$26=1,B36-B29-B31,0)</f>
        <v>0</v>
      </c>
      <c r="C32" s="444"/>
      <c r="D32" s="444">
        <f t="shared" ref="D32:R32" si="19">IF($W$26=1,D36-D29-D31,0)</f>
        <v>0</v>
      </c>
      <c r="E32" s="444"/>
      <c r="F32" s="444">
        <f t="shared" si="19"/>
        <v>0</v>
      </c>
      <c r="G32" s="444"/>
      <c r="H32" s="444">
        <f t="shared" si="19"/>
        <v>0</v>
      </c>
      <c r="I32" s="444"/>
      <c r="J32" s="444">
        <f t="shared" si="19"/>
        <v>0</v>
      </c>
      <c r="K32" s="444"/>
      <c r="L32" s="444">
        <f t="shared" si="19"/>
        <v>0</v>
      </c>
      <c r="M32" s="444"/>
      <c r="N32" s="444">
        <f t="shared" si="19"/>
        <v>0</v>
      </c>
      <c r="O32" s="444"/>
      <c r="P32" s="444">
        <f t="shared" si="19"/>
        <v>0</v>
      </c>
      <c r="Q32" s="444"/>
      <c r="R32" s="444">
        <f t="shared" si="19"/>
        <v>0</v>
      </c>
      <c r="S32" s="444"/>
      <c r="T32" s="410">
        <f t="shared" si="16"/>
        <v>0</v>
      </c>
      <c r="U32" s="411" t="e">
        <f t="shared" si="18"/>
        <v>#DIV/0!</v>
      </c>
    </row>
    <row r="33" spans="1:23" s="3" customFormat="1" ht="12.75" customHeight="1">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18"/>
        <v>#DIV/0!</v>
      </c>
    </row>
    <row r="34" spans="1:23" ht="12.75" customHeight="1">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6"/>
        <v>0</v>
      </c>
      <c r="U34" s="415" t="e">
        <f t="shared" si="18"/>
        <v>#DIV/0!</v>
      </c>
    </row>
    <row r="35" spans="1:23" ht="12.75" customHeight="1">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6"/>
        <v>0</v>
      </c>
      <c r="U35" s="411" t="e">
        <f t="shared" si="18"/>
        <v>#DIV/0!</v>
      </c>
    </row>
    <row r="36" spans="1:23" ht="12.75" customHeight="1">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6"/>
        <v>0</v>
      </c>
      <c r="U36" s="415" t="e">
        <f t="shared" si="18"/>
        <v>#DIV/0!</v>
      </c>
    </row>
    <row r="37" spans="1:23" ht="12.75" customHeight="1">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318</v>
      </c>
    </row>
    <row r="38" spans="1:23" ht="12.75" customHeight="1">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318</v>
      </c>
    </row>
    <row r="39" spans="1:23" ht="12.75" customHeight="1">
      <c r="A39" s="413" t="str">
        <f>A$15</f>
        <v>Neattiecināmās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6"/>
        <v>0</v>
      </c>
      <c r="U39" s="445" t="s">
        <v>318</v>
      </c>
    </row>
    <row r="40" spans="1:23" ht="12.75" customHeight="1">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6"/>
        <v>0</v>
      </c>
      <c r="U40" s="445" t="s">
        <v>318</v>
      </c>
    </row>
    <row r="41" spans="1:23" ht="12.75" customHeight="1">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c r="A42" s="434" t="s">
        <v>99</v>
      </c>
      <c r="B42" s="435">
        <f>'Dati par projektu'!$C$4</f>
        <v>0</v>
      </c>
      <c r="C42" s="436"/>
      <c r="D42" s="436"/>
      <c r="E42" s="436"/>
      <c r="F42" s="435" t="str">
        <f>'Dati par projektu'!$C$5</f>
        <v>Kapitālsabiedrība</v>
      </c>
      <c r="G42" s="436"/>
      <c r="H42" s="437"/>
      <c r="I42" s="436"/>
      <c r="J42" s="437" t="s">
        <v>325</v>
      </c>
      <c r="K42" s="436"/>
      <c r="L42" s="439">
        <f>'11. DL 4.pielikums'!$E$43</f>
        <v>0</v>
      </c>
      <c r="M42" s="436"/>
      <c r="N42" s="440" t="s">
        <v>327</v>
      </c>
      <c r="O42" s="436"/>
      <c r="P42" s="437"/>
      <c r="Q42" s="436"/>
      <c r="R42" s="437"/>
      <c r="S42" s="436"/>
      <c r="T42" s="437"/>
      <c r="U42" s="437"/>
      <c r="W42" s="4">
        <f>IF(F42=Dati!$J$3,1,IF(F42=Dati!$J$4,2,IF(F42=Dati!$J$5,3,0)))</f>
        <v>3</v>
      </c>
    </row>
    <row r="43" spans="1:23" ht="12.75" customHeight="1">
      <c r="A43" s="406" t="s">
        <v>310</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c r="A44" s="441"/>
      <c r="B44" s="408" t="s">
        <v>311</v>
      </c>
      <c r="C44" s="408"/>
      <c r="D44" s="408" t="s">
        <v>311</v>
      </c>
      <c r="E44" s="408"/>
      <c r="F44" s="408" t="s">
        <v>311</v>
      </c>
      <c r="G44" s="408"/>
      <c r="H44" s="408" t="s">
        <v>311</v>
      </c>
      <c r="I44" s="408"/>
      <c r="J44" s="408" t="s">
        <v>311</v>
      </c>
      <c r="K44" s="408"/>
      <c r="L44" s="408" t="s">
        <v>311</v>
      </c>
      <c r="M44" s="408"/>
      <c r="N44" s="408" t="s">
        <v>311</v>
      </c>
      <c r="O44" s="408"/>
      <c r="P44" s="408" t="s">
        <v>311</v>
      </c>
      <c r="Q44" s="408"/>
      <c r="R44" s="408" t="s">
        <v>311</v>
      </c>
      <c r="S44" s="408"/>
      <c r="T44" s="408" t="s">
        <v>190</v>
      </c>
      <c r="U44" s="408" t="s">
        <v>134</v>
      </c>
    </row>
    <row r="45" spans="1:23" ht="12.75" customHeight="1">
      <c r="A45" s="442" t="str">
        <f>A$5</f>
        <v>Eiropas Reģionālās attīstības fonds</v>
      </c>
      <c r="B45" s="443">
        <f>B52*$L$42</f>
        <v>0</v>
      </c>
      <c r="C45" s="443"/>
      <c r="D45" s="443">
        <f t="shared" ref="D45:R45" si="24">D52*$L$42</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customHeight="1">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customHeight="1">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customHeight="1">
      <c r="A48" s="412" t="str">
        <f>A$8</f>
        <v>Pašvaldības finansējums</v>
      </c>
      <c r="B48" s="444">
        <f>IF($W42=1,B52-B45-B47-B51,0)</f>
        <v>0</v>
      </c>
      <c r="C48" s="444"/>
      <c r="D48" s="444">
        <f t="shared" ref="D48:R48" si="28">IF($W42=1,D52-D45-D47-D51,0)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customHeight="1">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5"/>
        <v>0</v>
      </c>
      <c r="U49" s="411" t="e">
        <f>T49/T$52</f>
        <v>#DIV/0!</v>
      </c>
    </row>
    <row r="50" spans="1:23" ht="12.75" customHeight="1">
      <c r="A50" s="413" t="str">
        <f>A$10</f>
        <v>Publiskās attiecināmās izmaksas</v>
      </c>
      <c r="B50" s="311">
        <f>SUM(B45:B49)</f>
        <v>0</v>
      </c>
      <c r="C50" s="311"/>
      <c r="D50" s="311">
        <f t="shared" ref="D50:R50" si="29">SUM(D45:D49)</f>
        <v>0</v>
      </c>
      <c r="E50" s="311"/>
      <c r="F50" s="311">
        <f t="shared" si="29"/>
        <v>0</v>
      </c>
      <c r="G50" s="311"/>
      <c r="H50" s="311">
        <f t="shared" si="29"/>
        <v>0</v>
      </c>
      <c r="I50" s="311"/>
      <c r="J50" s="311">
        <f t="shared" si="29"/>
        <v>0</v>
      </c>
      <c r="K50" s="311"/>
      <c r="L50" s="311">
        <f t="shared" si="29"/>
        <v>0</v>
      </c>
      <c r="M50" s="311"/>
      <c r="N50" s="311">
        <f t="shared" si="29"/>
        <v>0</v>
      </c>
      <c r="O50" s="311"/>
      <c r="P50" s="311">
        <f t="shared" si="29"/>
        <v>0</v>
      </c>
      <c r="Q50" s="311"/>
      <c r="R50" s="311">
        <f t="shared" si="29"/>
        <v>0</v>
      </c>
      <c r="S50" s="311"/>
      <c r="T50" s="414">
        <f t="shared" si="25"/>
        <v>0</v>
      </c>
      <c r="U50" s="415" t="e">
        <f t="shared" si="27"/>
        <v>#DIV/0!</v>
      </c>
    </row>
    <row r="51" spans="1:23" ht="12.75" customHeight="1">
      <c r="A51" s="412" t="str">
        <f>A$11</f>
        <v>Privātās attiecināmās izmaksas</v>
      </c>
      <c r="B51" s="444">
        <f>B52*0.85-B45</f>
        <v>0</v>
      </c>
      <c r="C51" s="444"/>
      <c r="D51" s="444">
        <f t="shared" ref="D51:R51" si="30">D52*0.85-D45</f>
        <v>0</v>
      </c>
      <c r="E51" s="444"/>
      <c r="F51" s="444">
        <f t="shared" si="30"/>
        <v>0</v>
      </c>
      <c r="G51" s="444"/>
      <c r="H51" s="444">
        <f t="shared" si="30"/>
        <v>0</v>
      </c>
      <c r="I51" s="444"/>
      <c r="J51" s="444">
        <f t="shared" si="30"/>
        <v>0</v>
      </c>
      <c r="K51" s="444"/>
      <c r="L51" s="444">
        <f t="shared" si="30"/>
        <v>0</v>
      </c>
      <c r="M51" s="444"/>
      <c r="N51" s="444">
        <f t="shared" si="30"/>
        <v>0</v>
      </c>
      <c r="O51" s="444"/>
      <c r="P51" s="444">
        <f t="shared" si="30"/>
        <v>0</v>
      </c>
      <c r="Q51" s="444"/>
      <c r="R51" s="444">
        <f t="shared" si="30"/>
        <v>0</v>
      </c>
      <c r="S51" s="444"/>
      <c r="T51" s="410">
        <f t="shared" si="25"/>
        <v>0</v>
      </c>
      <c r="U51" s="411" t="e">
        <f t="shared" si="27"/>
        <v>#DIV/0!</v>
      </c>
    </row>
    <row r="52" spans="1:23" ht="12.75" customHeight="1">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customHeight="1">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318</v>
      </c>
    </row>
    <row r="54" spans="1:23" ht="12.75" customHeight="1">
      <c r="A54" s="412" t="str">
        <f>A$14</f>
        <v>Privātās neattiecināmās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318</v>
      </c>
    </row>
    <row r="55" spans="1:23" ht="12.75" customHeight="1">
      <c r="A55" s="413" t="str">
        <f>A$15</f>
        <v>Neattiecināmās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318</v>
      </c>
    </row>
    <row r="56" spans="1:23" ht="12.75" customHeight="1">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318</v>
      </c>
    </row>
    <row r="57" spans="1:23" ht="12.75" customHeight="1">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c r="A58" s="434" t="s">
        <v>99</v>
      </c>
      <c r="B58" s="435">
        <f>'Dati par projektu'!$C$4</f>
        <v>0</v>
      </c>
      <c r="C58" s="436"/>
      <c r="D58" s="436"/>
      <c r="E58" s="436"/>
      <c r="F58" s="435" t="str">
        <f>'Dati par projektu'!$C$5</f>
        <v>Kapitālsabiedrība</v>
      </c>
      <c r="G58" s="436"/>
      <c r="H58" s="437"/>
      <c r="I58" s="436"/>
      <c r="J58" s="437" t="s">
        <v>325</v>
      </c>
      <c r="K58" s="436"/>
      <c r="L58" s="439">
        <f>'1.1.B. Iesniedzējs'!C14</f>
        <v>1</v>
      </c>
      <c r="M58" s="436"/>
      <c r="N58" s="440" t="s">
        <v>328</v>
      </c>
      <c r="O58" s="436"/>
      <c r="P58" s="437"/>
      <c r="Q58" s="436"/>
      <c r="R58" s="437"/>
      <c r="S58" s="436"/>
      <c r="T58" s="437"/>
      <c r="U58" s="437"/>
      <c r="W58" s="4">
        <f>IF(F58=Dati!$J$3,1,IF(F58=Dati!$J$4,2,IF(F58=Dati!$J$5,3,0)))</f>
        <v>3</v>
      </c>
    </row>
    <row r="59" spans="1:23">
      <c r="A59" s="406" t="s">
        <v>310</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c r="A60" s="441"/>
      <c r="B60" s="408" t="s">
        <v>311</v>
      </c>
      <c r="C60" s="408"/>
      <c r="D60" s="408" t="s">
        <v>311</v>
      </c>
      <c r="E60" s="408"/>
      <c r="F60" s="408" t="s">
        <v>311</v>
      </c>
      <c r="G60" s="408"/>
      <c r="H60" s="408" t="s">
        <v>311</v>
      </c>
      <c r="I60" s="408"/>
      <c r="J60" s="408" t="s">
        <v>311</v>
      </c>
      <c r="K60" s="408"/>
      <c r="L60" s="408" t="s">
        <v>311</v>
      </c>
      <c r="M60" s="408"/>
      <c r="N60" s="408" t="s">
        <v>311</v>
      </c>
      <c r="O60" s="408"/>
      <c r="P60" s="408" t="s">
        <v>311</v>
      </c>
      <c r="Q60" s="408"/>
      <c r="R60" s="408" t="s">
        <v>311</v>
      </c>
      <c r="S60" s="408"/>
      <c r="T60" s="408" t="s">
        <v>190</v>
      </c>
      <c r="U60" s="408" t="s">
        <v>134</v>
      </c>
    </row>
    <row r="61" spans="1:23" ht="12.75" customHeight="1">
      <c r="A61" s="442" t="str">
        <f>A$5</f>
        <v>Eiropas Reģionālās attīstības fonds</v>
      </c>
      <c r="B61" s="443">
        <f>B68*$L$58</f>
        <v>0</v>
      </c>
      <c r="C61" s="443"/>
      <c r="D61" s="443">
        <f t="shared" ref="D61:R61" si="33">D68*$L$58</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si="33"/>
        <v>0</v>
      </c>
      <c r="S61" s="443"/>
      <c r="T61" s="410">
        <f t="shared" ref="T61:T67" si="34">SUM(B61:R61)</f>
        <v>0</v>
      </c>
      <c r="U61" s="411" t="e">
        <f>T61/$T$68</f>
        <v>#DIV/0!</v>
      </c>
    </row>
    <row r="62" spans="1:23" ht="12.75" customHeight="1">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4"/>
        <v>0</v>
      </c>
      <c r="U62" s="411" t="e">
        <f t="shared" ref="U62:U68" si="35">T62/$T$68</f>
        <v>#DIV/0!</v>
      </c>
    </row>
    <row r="63" spans="1:23" ht="12.75" customHeight="1">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4"/>
        <v>0</v>
      </c>
      <c r="U63" s="411" t="e">
        <f t="shared" si="35"/>
        <v>#DIV/0!</v>
      </c>
    </row>
    <row r="64" spans="1:23" ht="12.75" customHeight="1">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4"/>
        <v>0</v>
      </c>
      <c r="U64" s="411" t="e">
        <f t="shared" si="35"/>
        <v>#DIV/0!</v>
      </c>
    </row>
    <row r="65" spans="1:23" s="3" customFormat="1" ht="12.75" customHeight="1">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34"/>
        <v>0</v>
      </c>
      <c r="U65" s="411" t="e">
        <f t="shared" si="35"/>
        <v>#DIV/0!</v>
      </c>
    </row>
    <row r="66" spans="1:23" ht="12.75" customHeight="1">
      <c r="A66" s="413" t="str">
        <f>A$10</f>
        <v>Publiskās attiecināmās izmaksas</v>
      </c>
      <c r="B66" s="311">
        <f>SUM(B61:B65)</f>
        <v>0</v>
      </c>
      <c r="C66" s="311"/>
      <c r="D66" s="311">
        <f>SUM(D61:D65)</f>
        <v>0</v>
      </c>
      <c r="E66" s="311"/>
      <c r="F66" s="311">
        <f t="shared" ref="F66:R66" si="36">SUM(F61:F65)</f>
        <v>0</v>
      </c>
      <c r="G66" s="311"/>
      <c r="H66" s="311">
        <f t="shared" si="36"/>
        <v>0</v>
      </c>
      <c r="I66" s="311"/>
      <c r="J66" s="311">
        <f t="shared" si="36"/>
        <v>0</v>
      </c>
      <c r="K66" s="311"/>
      <c r="L66" s="311">
        <f t="shared" si="36"/>
        <v>0</v>
      </c>
      <c r="M66" s="311"/>
      <c r="N66" s="311">
        <f t="shared" si="36"/>
        <v>0</v>
      </c>
      <c r="O66" s="311"/>
      <c r="P66" s="311">
        <f t="shared" si="36"/>
        <v>0</v>
      </c>
      <c r="Q66" s="311"/>
      <c r="R66" s="311">
        <f t="shared" si="36"/>
        <v>0</v>
      </c>
      <c r="S66" s="311"/>
      <c r="T66" s="414">
        <f>SUM(B66:R66)</f>
        <v>0</v>
      </c>
      <c r="U66" s="411" t="e">
        <f t="shared" si="35"/>
        <v>#DIV/0!</v>
      </c>
    </row>
    <row r="67" spans="1:23" ht="12.75" customHeight="1">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34"/>
        <v>0</v>
      </c>
      <c r="U67" s="411" t="e">
        <f t="shared" si="35"/>
        <v>#DIV/0!</v>
      </c>
    </row>
    <row r="68" spans="1:23" ht="12.75" customHeight="1">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5"/>
        <v>#DIV/0!</v>
      </c>
    </row>
    <row r="69" spans="1:23" ht="12.75" customHeight="1">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37">SUM(B69:R69)</f>
        <v>0</v>
      </c>
      <c r="U69" s="445" t="s">
        <v>318</v>
      </c>
    </row>
    <row r="70" spans="1:23" ht="12.75" customHeight="1">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37"/>
        <v>0</v>
      </c>
      <c r="U70" s="445" t="s">
        <v>318</v>
      </c>
    </row>
    <row r="71" spans="1:23" ht="12.75" customHeight="1">
      <c r="A71" s="413" t="str">
        <f>A$15</f>
        <v>Neattiecināmās izmaksas kopā</v>
      </c>
      <c r="B71" s="311">
        <f>SUM(B69:B70)</f>
        <v>0</v>
      </c>
      <c r="C71" s="311"/>
      <c r="D71" s="311">
        <f t="shared" ref="D71:R71" si="38">SUM(D69:D70)</f>
        <v>0</v>
      </c>
      <c r="E71" s="311"/>
      <c r="F71" s="311">
        <f t="shared" si="38"/>
        <v>0</v>
      </c>
      <c r="G71" s="311"/>
      <c r="H71" s="311">
        <f t="shared" si="38"/>
        <v>0</v>
      </c>
      <c r="I71" s="311"/>
      <c r="J71" s="311">
        <f t="shared" si="38"/>
        <v>0</v>
      </c>
      <c r="K71" s="311"/>
      <c r="L71" s="311">
        <f t="shared" si="38"/>
        <v>0</v>
      </c>
      <c r="M71" s="311"/>
      <c r="N71" s="311">
        <f t="shared" si="38"/>
        <v>0</v>
      </c>
      <c r="O71" s="311"/>
      <c r="P71" s="311">
        <f t="shared" si="38"/>
        <v>0</v>
      </c>
      <c r="Q71" s="311"/>
      <c r="R71" s="311">
        <f t="shared" si="38"/>
        <v>0</v>
      </c>
      <c r="S71" s="311"/>
      <c r="T71" s="414">
        <f t="shared" si="37"/>
        <v>0</v>
      </c>
      <c r="U71" s="445" t="s">
        <v>318</v>
      </c>
    </row>
    <row r="72" spans="1:23" ht="12.75" customHeight="1">
      <c r="A72" s="418" t="str">
        <f>A$16</f>
        <v>Kopējās izmaksas</v>
      </c>
      <c r="B72" s="419">
        <f>B68+B71</f>
        <v>0</v>
      </c>
      <c r="C72" s="419"/>
      <c r="D72" s="419">
        <f t="shared" ref="D72:R72" si="39">D68+D71</f>
        <v>0</v>
      </c>
      <c r="E72" s="419"/>
      <c r="F72" s="419">
        <f t="shared" si="39"/>
        <v>0</v>
      </c>
      <c r="G72" s="419"/>
      <c r="H72" s="419">
        <f t="shared" si="39"/>
        <v>0</v>
      </c>
      <c r="I72" s="419"/>
      <c r="J72" s="419">
        <f t="shared" si="39"/>
        <v>0</v>
      </c>
      <c r="K72" s="419"/>
      <c r="L72" s="419">
        <f t="shared" si="39"/>
        <v>0</v>
      </c>
      <c r="M72" s="419"/>
      <c r="N72" s="419">
        <f t="shared" si="39"/>
        <v>0</v>
      </c>
      <c r="O72" s="419"/>
      <c r="P72" s="419">
        <f t="shared" si="39"/>
        <v>0</v>
      </c>
      <c r="Q72" s="419"/>
      <c r="R72" s="419">
        <f t="shared" si="39"/>
        <v>0</v>
      </c>
      <c r="S72" s="419"/>
      <c r="T72" s="414">
        <f>SUM(B72:R72)</f>
        <v>0</v>
      </c>
      <c r="U72" s="445" t="s">
        <v>318</v>
      </c>
    </row>
    <row r="73" spans="1:23" ht="12.75" customHeight="1">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c r="A74" s="434" t="s">
        <v>99</v>
      </c>
      <c r="B74" s="435">
        <f>'Dati par projektu'!$C$4</f>
        <v>0</v>
      </c>
      <c r="C74" s="436"/>
      <c r="D74" s="436"/>
      <c r="E74" s="436"/>
      <c r="F74" s="435" t="str">
        <f>'Dati par projektu'!$C$5</f>
        <v>Kapitālsabiedrība</v>
      </c>
      <c r="G74" s="436"/>
      <c r="H74" s="437"/>
      <c r="I74" s="436"/>
      <c r="J74" s="437" t="s">
        <v>325</v>
      </c>
      <c r="K74" s="436"/>
      <c r="L74" s="439">
        <f>'1.1.C. Iesniedzējs'!C24</f>
        <v>0.85</v>
      </c>
      <c r="M74" s="436"/>
      <c r="N74" s="440" t="s">
        <v>329</v>
      </c>
      <c r="O74" s="436"/>
      <c r="P74" s="437"/>
      <c r="Q74" s="436"/>
      <c r="R74" s="437"/>
      <c r="S74" s="436"/>
      <c r="T74" s="437"/>
      <c r="U74" s="437"/>
      <c r="W74" s="4">
        <f>IF(F74=Dati!$J$3,1,IF(F74=Dati!$J$4,2,IF(F74=Dati!$J$5,3,0)))</f>
        <v>3</v>
      </c>
    </row>
    <row r="75" spans="1:23">
      <c r="A75" s="406" t="s">
        <v>310</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c r="A76" s="441"/>
      <c r="B76" s="408" t="s">
        <v>311</v>
      </c>
      <c r="C76" s="408"/>
      <c r="D76" s="408" t="s">
        <v>311</v>
      </c>
      <c r="E76" s="408"/>
      <c r="F76" s="408" t="s">
        <v>311</v>
      </c>
      <c r="G76" s="408"/>
      <c r="H76" s="408" t="s">
        <v>311</v>
      </c>
      <c r="I76" s="408"/>
      <c r="J76" s="408" t="s">
        <v>311</v>
      </c>
      <c r="K76" s="408"/>
      <c r="L76" s="408" t="s">
        <v>311</v>
      </c>
      <c r="M76" s="408"/>
      <c r="N76" s="408" t="s">
        <v>311</v>
      </c>
      <c r="O76" s="408"/>
      <c r="P76" s="408" t="s">
        <v>311</v>
      </c>
      <c r="Q76" s="408"/>
      <c r="R76" s="408" t="s">
        <v>311</v>
      </c>
      <c r="S76" s="408"/>
      <c r="T76" s="408" t="s">
        <v>190</v>
      </c>
      <c r="U76" s="408" t="s">
        <v>134</v>
      </c>
    </row>
    <row r="77" spans="1:23" ht="12.75" customHeight="1">
      <c r="A77" s="442" t="str">
        <f>A$5</f>
        <v>Eiropas Reģionālās attīstības fonds</v>
      </c>
      <c r="B77" s="443">
        <f>B84*$L$74</f>
        <v>1064200</v>
      </c>
      <c r="C77" s="443"/>
      <c r="D77" s="443">
        <f t="shared" ref="D77:R77" si="40">D84*$L$74</f>
        <v>44200</v>
      </c>
      <c r="E77" s="443"/>
      <c r="F77" s="443">
        <f t="shared" si="40"/>
        <v>0</v>
      </c>
      <c r="G77" s="443"/>
      <c r="H77" s="443">
        <f t="shared" si="40"/>
        <v>0</v>
      </c>
      <c r="I77" s="443"/>
      <c r="J77" s="443">
        <f t="shared" si="40"/>
        <v>0</v>
      </c>
      <c r="K77" s="443"/>
      <c r="L77" s="443">
        <f t="shared" si="40"/>
        <v>0</v>
      </c>
      <c r="M77" s="443"/>
      <c r="N77" s="443">
        <f t="shared" si="40"/>
        <v>0</v>
      </c>
      <c r="O77" s="443"/>
      <c r="P77" s="443">
        <f t="shared" si="40"/>
        <v>0</v>
      </c>
      <c r="Q77" s="443"/>
      <c r="R77" s="443">
        <f t="shared" si="40"/>
        <v>0</v>
      </c>
      <c r="S77" s="443"/>
      <c r="T77" s="410">
        <f t="shared" ref="T77:T83" si="41">SUM(B77:R77)</f>
        <v>1108400</v>
      </c>
      <c r="U77" s="411">
        <f>T77/$T$84</f>
        <v>0.85</v>
      </c>
    </row>
    <row r="78" spans="1:23" ht="12.75" customHeight="1">
      <c r="A78" s="412" t="str">
        <f>A$6</f>
        <v>Attiecināmais valsts budžeta finansējums</v>
      </c>
      <c r="B78" s="443">
        <f>IF($W74=2,B84-B77,0)</f>
        <v>0</v>
      </c>
      <c r="C78" s="443"/>
      <c r="D78" s="443">
        <f t="shared" ref="D78:R78" si="42">IF($W74=2,D84-D77,0)</f>
        <v>0</v>
      </c>
      <c r="E78" s="443"/>
      <c r="F78" s="443">
        <f t="shared" si="42"/>
        <v>0</v>
      </c>
      <c r="G78" s="443"/>
      <c r="H78" s="443">
        <f t="shared" si="42"/>
        <v>0</v>
      </c>
      <c r="I78" s="443"/>
      <c r="J78" s="443">
        <f t="shared" si="42"/>
        <v>0</v>
      </c>
      <c r="K78" s="443"/>
      <c r="L78" s="443">
        <f t="shared" si="42"/>
        <v>0</v>
      </c>
      <c r="M78" s="443"/>
      <c r="N78" s="443">
        <f t="shared" si="42"/>
        <v>0</v>
      </c>
      <c r="O78" s="443"/>
      <c r="P78" s="443">
        <f t="shared" si="42"/>
        <v>0</v>
      </c>
      <c r="Q78" s="443"/>
      <c r="R78" s="443">
        <f t="shared" si="42"/>
        <v>0</v>
      </c>
      <c r="S78" s="443"/>
      <c r="T78" s="410">
        <f t="shared" si="41"/>
        <v>0</v>
      </c>
      <c r="U78" s="411">
        <f t="shared" ref="U78:U84" si="43">T78/$T$84</f>
        <v>0</v>
      </c>
    </row>
    <row r="79" spans="1:23" ht="12.75" customHeight="1">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41"/>
        <v>0</v>
      </c>
      <c r="U79" s="411">
        <f t="shared" si="43"/>
        <v>0</v>
      </c>
    </row>
    <row r="80" spans="1:23" ht="12.75" customHeight="1">
      <c r="A80" s="412" t="str">
        <f>A$8</f>
        <v>Pašvaldības finansējums</v>
      </c>
      <c r="B80" s="444">
        <f>IF($W74=1,B84-B77-B79-B83,0)</f>
        <v>0</v>
      </c>
      <c r="C80" s="444"/>
      <c r="D80" s="444">
        <f t="shared" ref="D80:R80" si="44">IF($W74=1,D84-D77-D79-D83,0)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0">
        <f t="shared" si="41"/>
        <v>0</v>
      </c>
      <c r="U80" s="411">
        <f t="shared" si="43"/>
        <v>0</v>
      </c>
    </row>
    <row r="81" spans="1:23" s="3" customFormat="1" ht="12.75" customHeight="1">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41"/>
        <v>0</v>
      </c>
      <c r="U81" s="411">
        <f t="shared" si="43"/>
        <v>0</v>
      </c>
    </row>
    <row r="82" spans="1:23" ht="12.75" customHeight="1">
      <c r="A82" s="413" t="str">
        <f>A$10</f>
        <v>Publiskās attiecināmās izmaksas</v>
      </c>
      <c r="B82" s="311">
        <f>SUM(B77:B81)</f>
        <v>1064200</v>
      </c>
      <c r="C82" s="311"/>
      <c r="D82" s="311">
        <f t="shared" ref="D82:R82" si="45">SUM(D77:D81)</f>
        <v>44200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1"/>
        <v>1108400</v>
      </c>
      <c r="U82" s="411">
        <f t="shared" si="43"/>
        <v>0.85</v>
      </c>
    </row>
    <row r="83" spans="1:23" ht="12.75" customHeight="1">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41"/>
        <v>0</v>
      </c>
      <c r="U83" s="411">
        <f t="shared" si="43"/>
        <v>0</v>
      </c>
    </row>
    <row r="84" spans="1:23" ht="12.75" customHeight="1">
      <c r="A84" s="413" t="str">
        <f>A$12</f>
        <v>Kopējās attiecināmās izmaksas</v>
      </c>
      <c r="B84" s="311">
        <f>IF(B23=2,'1.1.C. Iesniedzējs'!H24,'1.1.C. Iesniedzējs'!H24*B23)</f>
        <v>1252000</v>
      </c>
      <c r="C84" s="311"/>
      <c r="D84" s="311">
        <f>IF(D23=2,'1.1.C. Iesniedzējs'!J24+'1.1.C. Iesniedzējs'!H24,'1.1.C. Iesniedzējs'!J24*D23)</f>
        <v>52000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1304000</v>
      </c>
      <c r="U84" s="411">
        <f t="shared" si="43"/>
        <v>1</v>
      </c>
    </row>
    <row r="85" spans="1:23" ht="12.75" customHeight="1">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46">SUM(B85:R85)</f>
        <v>0</v>
      </c>
      <c r="U85" s="445" t="s">
        <v>318</v>
      </c>
    </row>
    <row r="86" spans="1:23" ht="12.75" customHeight="1">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46"/>
        <v>0</v>
      </c>
      <c r="U86" s="445" t="s">
        <v>318</v>
      </c>
    </row>
    <row r="87" spans="1:23" ht="12.75" customHeight="1">
      <c r="A87" s="413" t="str">
        <f>A$15</f>
        <v>Neattiecināmās izmaksas kopā</v>
      </c>
      <c r="B87" s="311">
        <f>SUM(B85:B86)</f>
        <v>0</v>
      </c>
      <c r="C87" s="311"/>
      <c r="D87" s="311">
        <f t="shared" ref="D87:R87" si="47">SUM(D84:D86)</f>
        <v>52000</v>
      </c>
      <c r="E87" s="311"/>
      <c r="F87" s="311">
        <f t="shared" si="47"/>
        <v>0</v>
      </c>
      <c r="G87" s="311"/>
      <c r="H87" s="311">
        <f t="shared" si="47"/>
        <v>0</v>
      </c>
      <c r="I87" s="311"/>
      <c r="J87" s="311">
        <f t="shared" si="47"/>
        <v>0</v>
      </c>
      <c r="K87" s="311"/>
      <c r="L87" s="311">
        <f t="shared" si="47"/>
        <v>0</v>
      </c>
      <c r="M87" s="311"/>
      <c r="N87" s="311">
        <f t="shared" si="47"/>
        <v>0</v>
      </c>
      <c r="O87" s="311"/>
      <c r="P87" s="311">
        <f t="shared" si="47"/>
        <v>0</v>
      </c>
      <c r="Q87" s="311"/>
      <c r="R87" s="311">
        <f t="shared" si="47"/>
        <v>0</v>
      </c>
      <c r="S87" s="311"/>
      <c r="T87" s="414">
        <f t="shared" si="46"/>
        <v>52000</v>
      </c>
      <c r="U87" s="445" t="s">
        <v>318</v>
      </c>
    </row>
    <row r="88" spans="1:23" ht="12.75" customHeight="1">
      <c r="A88" s="418" t="str">
        <f>A$16</f>
        <v>Kopējās izmaksas</v>
      </c>
      <c r="B88" s="419">
        <f>B84+B87</f>
        <v>1252000</v>
      </c>
      <c r="C88" s="419"/>
      <c r="D88" s="419">
        <f t="shared" ref="D88:R88" si="48">D83+D87</f>
        <v>52000</v>
      </c>
      <c r="E88" s="419"/>
      <c r="F88" s="419">
        <f t="shared" si="48"/>
        <v>0</v>
      </c>
      <c r="G88" s="419"/>
      <c r="H88" s="419">
        <f t="shared" si="48"/>
        <v>0</v>
      </c>
      <c r="I88" s="419"/>
      <c r="J88" s="419">
        <f t="shared" si="48"/>
        <v>0</v>
      </c>
      <c r="K88" s="419"/>
      <c r="L88" s="419">
        <f t="shared" si="48"/>
        <v>0</v>
      </c>
      <c r="M88" s="419"/>
      <c r="N88" s="419">
        <f t="shared" si="48"/>
        <v>0</v>
      </c>
      <c r="O88" s="419"/>
      <c r="P88" s="419">
        <f t="shared" si="48"/>
        <v>0</v>
      </c>
      <c r="Q88" s="419"/>
      <c r="R88" s="419">
        <f t="shared" si="48"/>
        <v>0</v>
      </c>
      <c r="S88" s="419"/>
      <c r="T88" s="414">
        <f>SUM(B88:R88)</f>
        <v>1304000</v>
      </c>
      <c r="U88" s="445" t="s">
        <v>318</v>
      </c>
    </row>
    <row r="89" spans="1:23" ht="12.75" customHeight="1">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c r="A90" s="447" t="s">
        <v>330</v>
      </c>
      <c r="B90" s="435">
        <f>'1.2.1.A. Partneris-1'!C3</f>
        <v>0</v>
      </c>
      <c r="C90" s="436"/>
      <c r="D90" s="436"/>
      <c r="E90" s="436"/>
      <c r="F90" s="435">
        <f>'1.2.1.A. Partneris-1'!H3</f>
        <v>0</v>
      </c>
      <c r="G90" s="436"/>
      <c r="H90" s="437"/>
      <c r="I90" s="436"/>
      <c r="J90" s="437" t="s">
        <v>325</v>
      </c>
      <c r="K90" s="436"/>
      <c r="L90" s="439">
        <f>'1.2.1.A. Partneris-1'!C24</f>
        <v>0.85</v>
      </c>
      <c r="M90" s="436"/>
      <c r="N90" s="440" t="s">
        <v>331</v>
      </c>
      <c r="O90" s="436"/>
      <c r="P90" s="437"/>
      <c r="Q90" s="436"/>
      <c r="R90" s="437"/>
      <c r="S90" s="436"/>
      <c r="T90" s="437"/>
      <c r="U90" s="437"/>
      <c r="W90" s="4">
        <f>IF(F90=Dati!$J$3,1,IF(F90=Dati!$J$4,2,IF(F90=Dati!$J$5,3,0)))</f>
        <v>0</v>
      </c>
    </row>
    <row r="91" spans="1:23">
      <c r="A91" s="406" t="s">
        <v>310</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c r="A92" s="441"/>
      <c r="B92" s="408" t="s">
        <v>311</v>
      </c>
      <c r="C92" s="408"/>
      <c r="D92" s="408" t="s">
        <v>311</v>
      </c>
      <c r="E92" s="408"/>
      <c r="F92" s="408" t="s">
        <v>311</v>
      </c>
      <c r="G92" s="408"/>
      <c r="H92" s="408" t="s">
        <v>311</v>
      </c>
      <c r="I92" s="408"/>
      <c r="J92" s="408" t="s">
        <v>311</v>
      </c>
      <c r="K92" s="408"/>
      <c r="L92" s="408" t="s">
        <v>311</v>
      </c>
      <c r="M92" s="408"/>
      <c r="N92" s="408" t="s">
        <v>311</v>
      </c>
      <c r="O92" s="408"/>
      <c r="P92" s="408" t="s">
        <v>311</v>
      </c>
      <c r="Q92" s="408"/>
      <c r="R92" s="408" t="s">
        <v>311</v>
      </c>
      <c r="S92" s="408"/>
      <c r="T92" s="408" t="s">
        <v>190</v>
      </c>
      <c r="U92" s="408" t="s">
        <v>134</v>
      </c>
    </row>
    <row r="93" spans="1:23" ht="12.75" customHeight="1">
      <c r="A93" s="442" t="str">
        <f>A$5</f>
        <v>Eiropas Reģionālās attīstības fonds</v>
      </c>
      <c r="B93" s="443">
        <f>B100*$L$90</f>
        <v>0</v>
      </c>
      <c r="C93" s="443"/>
      <c r="D93" s="443">
        <f t="shared" ref="D93:R93" si="49">D100*$L$90</f>
        <v>0</v>
      </c>
      <c r="E93" s="443"/>
      <c r="F93" s="443">
        <f t="shared" si="49"/>
        <v>0</v>
      </c>
      <c r="G93" s="443"/>
      <c r="H93" s="443">
        <f t="shared" si="49"/>
        <v>0</v>
      </c>
      <c r="I93" s="443"/>
      <c r="J93" s="443">
        <f t="shared" si="49"/>
        <v>0</v>
      </c>
      <c r="K93" s="443"/>
      <c r="L93" s="443">
        <f t="shared" si="49"/>
        <v>0</v>
      </c>
      <c r="M93" s="443"/>
      <c r="N93" s="443">
        <f t="shared" si="49"/>
        <v>0</v>
      </c>
      <c r="O93" s="443"/>
      <c r="P93" s="443">
        <f t="shared" si="49"/>
        <v>0</v>
      </c>
      <c r="Q93" s="443"/>
      <c r="R93" s="443">
        <f t="shared" si="49"/>
        <v>0</v>
      </c>
      <c r="S93" s="443"/>
      <c r="T93" s="410">
        <f t="shared" ref="T93:T100" si="50">SUM(B93:R93)</f>
        <v>0</v>
      </c>
      <c r="U93" s="411" t="e">
        <f>T93/$T$100</f>
        <v>#DIV/0!</v>
      </c>
    </row>
    <row r="94" spans="1:23" ht="12.75" customHeight="1">
      <c r="A94" s="412" t="str">
        <f>A$6</f>
        <v>Attiecināmais valsts budžeta finansējums</v>
      </c>
      <c r="B94" s="443">
        <f>IF($W90=2,B100-B93,0)</f>
        <v>0</v>
      </c>
      <c r="C94" s="443"/>
      <c r="D94" s="443">
        <f t="shared" ref="D94:R94" si="51">IF($W90=2,D100-D93,0)</f>
        <v>0</v>
      </c>
      <c r="E94" s="443"/>
      <c r="F94" s="443">
        <f t="shared" si="51"/>
        <v>0</v>
      </c>
      <c r="G94" s="443"/>
      <c r="H94" s="443">
        <f t="shared" si="51"/>
        <v>0</v>
      </c>
      <c r="I94" s="443"/>
      <c r="J94" s="443">
        <f t="shared" si="51"/>
        <v>0</v>
      </c>
      <c r="K94" s="443"/>
      <c r="L94" s="443">
        <f t="shared" si="51"/>
        <v>0</v>
      </c>
      <c r="M94" s="443"/>
      <c r="N94" s="443">
        <f t="shared" si="51"/>
        <v>0</v>
      </c>
      <c r="O94" s="443"/>
      <c r="P94" s="443">
        <f t="shared" si="51"/>
        <v>0</v>
      </c>
      <c r="Q94" s="443"/>
      <c r="R94" s="443">
        <f t="shared" si="51"/>
        <v>0</v>
      </c>
      <c r="S94" s="443"/>
      <c r="T94" s="410">
        <f t="shared" si="50"/>
        <v>0</v>
      </c>
      <c r="U94" s="411" t="e">
        <f t="shared" ref="U94:U100" si="52">T94/$T$100</f>
        <v>#DIV/0!</v>
      </c>
    </row>
    <row r="95" spans="1:23" ht="12.75" customHeight="1">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50"/>
        <v>0</v>
      </c>
      <c r="U95" s="411" t="e">
        <f t="shared" si="52"/>
        <v>#DIV/0!</v>
      </c>
    </row>
    <row r="96" spans="1:23" ht="12.75" customHeight="1">
      <c r="A96" s="412" t="str">
        <f>A$8</f>
        <v>Pašvaldības finansējums</v>
      </c>
      <c r="B96" s="444">
        <f>IF($W90=1,B100-B93-B95,0)</f>
        <v>0</v>
      </c>
      <c r="C96" s="444"/>
      <c r="D96" s="444">
        <f t="shared" ref="D96:R96" si="53">IF($W90=1,D100-D93-D95,0)</f>
        <v>0</v>
      </c>
      <c r="E96" s="444"/>
      <c r="F96" s="444">
        <f t="shared" si="53"/>
        <v>0</v>
      </c>
      <c r="G96" s="444"/>
      <c r="H96" s="444">
        <f t="shared" si="53"/>
        <v>0</v>
      </c>
      <c r="I96" s="444"/>
      <c r="J96" s="444">
        <f t="shared" si="53"/>
        <v>0</v>
      </c>
      <c r="K96" s="444"/>
      <c r="L96" s="444">
        <f t="shared" si="53"/>
        <v>0</v>
      </c>
      <c r="M96" s="444"/>
      <c r="N96" s="444">
        <f t="shared" si="53"/>
        <v>0</v>
      </c>
      <c r="O96" s="444"/>
      <c r="P96" s="444">
        <f t="shared" si="53"/>
        <v>0</v>
      </c>
      <c r="Q96" s="444"/>
      <c r="R96" s="444">
        <f t="shared" si="53"/>
        <v>0</v>
      </c>
      <c r="S96" s="444"/>
      <c r="T96" s="410">
        <f t="shared" si="50"/>
        <v>0</v>
      </c>
      <c r="U96" s="411" t="e">
        <f t="shared" si="52"/>
        <v>#DIV/0!</v>
      </c>
    </row>
    <row r="97" spans="1:23" s="3" customFormat="1" ht="12.75" customHeight="1">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50"/>
        <v>0</v>
      </c>
      <c r="U97" s="411" t="e">
        <f t="shared" si="52"/>
        <v>#DIV/0!</v>
      </c>
    </row>
    <row r="98" spans="1:23" ht="12.75" customHeight="1">
      <c r="A98" s="413" t="str">
        <f>A$10</f>
        <v>Publiskās attiecināmās izmaksas</v>
      </c>
      <c r="B98" s="311">
        <f>SUM(B93:B97)</f>
        <v>0</v>
      </c>
      <c r="C98" s="311"/>
      <c r="D98" s="311">
        <f t="shared" ref="D98:R98" si="54">SUM(D93:D97)</f>
        <v>0</v>
      </c>
      <c r="E98" s="311"/>
      <c r="F98" s="311">
        <f t="shared" si="54"/>
        <v>0</v>
      </c>
      <c r="G98" s="311"/>
      <c r="H98" s="311">
        <f t="shared" si="54"/>
        <v>0</v>
      </c>
      <c r="I98" s="311"/>
      <c r="J98" s="311">
        <f t="shared" si="54"/>
        <v>0</v>
      </c>
      <c r="K98" s="311"/>
      <c r="L98" s="311">
        <f t="shared" si="54"/>
        <v>0</v>
      </c>
      <c r="M98" s="311"/>
      <c r="N98" s="311">
        <f t="shared" si="54"/>
        <v>0</v>
      </c>
      <c r="O98" s="311"/>
      <c r="P98" s="311">
        <f t="shared" si="54"/>
        <v>0</v>
      </c>
      <c r="Q98" s="311"/>
      <c r="R98" s="311">
        <f t="shared" si="54"/>
        <v>0</v>
      </c>
      <c r="S98" s="311"/>
      <c r="T98" s="414">
        <f t="shared" si="50"/>
        <v>0</v>
      </c>
      <c r="U98" s="411" t="e">
        <f t="shared" si="52"/>
        <v>#DIV/0!</v>
      </c>
    </row>
    <row r="99" spans="1:23" ht="12.75" customHeight="1">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50"/>
        <v>0</v>
      </c>
      <c r="U99" s="411" t="e">
        <f t="shared" si="52"/>
        <v>#DIV/0!</v>
      </c>
    </row>
    <row r="100" spans="1:23" ht="12.75" customHeight="1">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50"/>
        <v>0</v>
      </c>
      <c r="U100" s="411" t="e">
        <f t="shared" si="52"/>
        <v>#DIV/0!</v>
      </c>
    </row>
    <row r="101" spans="1:23" ht="12.75" customHeight="1">
      <c r="A101" s="412" t="str">
        <f>A$13</f>
        <v>Publiskās neattiecināmās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55">SUM(B101:R101)</f>
        <v>0</v>
      </c>
      <c r="U101" s="445" t="s">
        <v>318</v>
      </c>
    </row>
    <row r="102" spans="1:23" ht="12.75" customHeight="1">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56">SUM(B102:R102)</f>
        <v>0</v>
      </c>
      <c r="U102" s="445" t="s">
        <v>318</v>
      </c>
    </row>
    <row r="103" spans="1:23" ht="12.75" customHeight="1">
      <c r="A103" s="413" t="str">
        <f>A$15</f>
        <v>Neattiecināmās izmaksas kopā</v>
      </c>
      <c r="B103" s="311">
        <f>SUM(B101:B102)</f>
        <v>0</v>
      </c>
      <c r="C103" s="311"/>
      <c r="D103" s="311">
        <f t="shared" ref="D103:R103" si="57">SUM(D101:D102)</f>
        <v>0</v>
      </c>
      <c r="E103" s="311"/>
      <c r="F103" s="311">
        <f t="shared" si="57"/>
        <v>0</v>
      </c>
      <c r="G103" s="311"/>
      <c r="H103" s="311">
        <f t="shared" si="57"/>
        <v>0</v>
      </c>
      <c r="I103" s="311"/>
      <c r="J103" s="311">
        <f t="shared" si="57"/>
        <v>0</v>
      </c>
      <c r="K103" s="311"/>
      <c r="L103" s="311">
        <f t="shared" si="57"/>
        <v>0</v>
      </c>
      <c r="M103" s="311"/>
      <c r="N103" s="311">
        <f t="shared" si="57"/>
        <v>0</v>
      </c>
      <c r="O103" s="311"/>
      <c r="P103" s="311">
        <f t="shared" si="57"/>
        <v>0</v>
      </c>
      <c r="Q103" s="311"/>
      <c r="R103" s="311">
        <f t="shared" si="57"/>
        <v>0</v>
      </c>
      <c r="S103" s="311"/>
      <c r="T103" s="414">
        <f t="shared" si="56"/>
        <v>0</v>
      </c>
      <c r="U103" s="445" t="s">
        <v>318</v>
      </c>
    </row>
    <row r="104" spans="1:23" ht="12.75" customHeight="1">
      <c r="A104" s="418" t="str">
        <f>A$16</f>
        <v>Kopējās izmaksas</v>
      </c>
      <c r="B104" s="419">
        <f>B100+B103</f>
        <v>0</v>
      </c>
      <c r="C104" s="419"/>
      <c r="D104" s="419">
        <f t="shared" ref="D104:R104" si="58">D100+D103</f>
        <v>0</v>
      </c>
      <c r="E104" s="419"/>
      <c r="F104" s="419">
        <f t="shared" si="58"/>
        <v>0</v>
      </c>
      <c r="G104" s="419"/>
      <c r="H104" s="419">
        <f t="shared" si="58"/>
        <v>0</v>
      </c>
      <c r="I104" s="419"/>
      <c r="J104" s="419">
        <f t="shared" si="58"/>
        <v>0</v>
      </c>
      <c r="K104" s="419"/>
      <c r="L104" s="419">
        <f t="shared" si="58"/>
        <v>0</v>
      </c>
      <c r="M104" s="419"/>
      <c r="N104" s="419">
        <f t="shared" si="58"/>
        <v>0</v>
      </c>
      <c r="O104" s="419"/>
      <c r="P104" s="419">
        <f t="shared" si="58"/>
        <v>0</v>
      </c>
      <c r="Q104" s="419"/>
      <c r="R104" s="419">
        <f t="shared" si="58"/>
        <v>0</v>
      </c>
      <c r="S104" s="419"/>
      <c r="T104" s="421">
        <f t="shared" si="56"/>
        <v>0</v>
      </c>
      <c r="U104" s="445" t="s">
        <v>318</v>
      </c>
    </row>
    <row r="105" spans="1:23" ht="12.75"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c r="A106" s="447" t="s">
        <v>330</v>
      </c>
      <c r="B106" s="435">
        <f>'1.2.1.B. Partneris-1'!C3</f>
        <v>0</v>
      </c>
      <c r="C106" s="436"/>
      <c r="D106" s="436"/>
      <c r="E106" s="436"/>
      <c r="F106" s="435">
        <f>'1.2.1.B. Partneris-1'!H3</f>
        <v>0</v>
      </c>
      <c r="G106" s="436"/>
      <c r="H106" s="437"/>
      <c r="I106" s="436"/>
      <c r="J106" s="437" t="s">
        <v>325</v>
      </c>
      <c r="K106" s="436"/>
      <c r="L106" s="439">
        <f>'11. DL 4.pielikums'!$E$43</f>
        <v>0</v>
      </c>
      <c r="M106" s="436"/>
      <c r="N106" s="440" t="s">
        <v>332</v>
      </c>
      <c r="O106" s="436"/>
      <c r="P106" s="437"/>
      <c r="Q106" s="436"/>
      <c r="R106" s="437"/>
      <c r="S106" s="436"/>
      <c r="T106" s="437"/>
      <c r="U106" s="437"/>
      <c r="W106" s="4">
        <f>IF(F106=Dati!$J$3,1,IF(F106=Dati!$J$4,2,IF(F106=Dati!$J$5,3,0)))</f>
        <v>0</v>
      </c>
    </row>
    <row r="107" spans="1:23" ht="12.75" customHeight="1">
      <c r="A107" s="406" t="s">
        <v>310</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c r="A108" s="441"/>
      <c r="B108" s="408" t="s">
        <v>311</v>
      </c>
      <c r="C108" s="408"/>
      <c r="D108" s="408" t="s">
        <v>311</v>
      </c>
      <c r="E108" s="408"/>
      <c r="F108" s="408" t="s">
        <v>311</v>
      </c>
      <c r="G108" s="408"/>
      <c r="H108" s="408" t="s">
        <v>311</v>
      </c>
      <c r="I108" s="408"/>
      <c r="J108" s="408" t="s">
        <v>311</v>
      </c>
      <c r="K108" s="408"/>
      <c r="L108" s="408" t="s">
        <v>311</v>
      </c>
      <c r="M108" s="408"/>
      <c r="N108" s="408" t="s">
        <v>311</v>
      </c>
      <c r="O108" s="408"/>
      <c r="P108" s="408" t="s">
        <v>311</v>
      </c>
      <c r="Q108" s="408"/>
      <c r="R108" s="408" t="s">
        <v>311</v>
      </c>
      <c r="S108" s="408"/>
      <c r="T108" s="408" t="s">
        <v>190</v>
      </c>
      <c r="U108" s="408" t="s">
        <v>134</v>
      </c>
    </row>
    <row r="109" spans="1:23" ht="12.75" customHeight="1">
      <c r="A109" s="442" t="str">
        <f>A$5</f>
        <v>Eiropas Reģionālās attīstības fonds</v>
      </c>
      <c r="B109" s="443">
        <f>B116*$L$106</f>
        <v>0</v>
      </c>
      <c r="C109" s="443"/>
      <c r="D109" s="443">
        <f t="shared" ref="D109:R109" si="59">D116*$L$106</f>
        <v>0</v>
      </c>
      <c r="E109" s="443"/>
      <c r="F109" s="443">
        <f t="shared" si="59"/>
        <v>0</v>
      </c>
      <c r="G109" s="443"/>
      <c r="H109" s="443">
        <f>H116*$L$106</f>
        <v>0</v>
      </c>
      <c r="I109" s="443"/>
      <c r="J109" s="443">
        <f t="shared" si="59"/>
        <v>0</v>
      </c>
      <c r="K109" s="443"/>
      <c r="L109" s="443">
        <f t="shared" si="59"/>
        <v>0</v>
      </c>
      <c r="M109" s="443"/>
      <c r="N109" s="443">
        <f t="shared" si="59"/>
        <v>0</v>
      </c>
      <c r="O109" s="443"/>
      <c r="P109" s="443">
        <f t="shared" si="59"/>
        <v>0</v>
      </c>
      <c r="Q109" s="443"/>
      <c r="R109" s="443">
        <f t="shared" si="59"/>
        <v>0</v>
      </c>
      <c r="S109" s="443"/>
      <c r="T109" s="410">
        <f t="shared" ref="T109:T115" si="60">SUM(B109:R109)</f>
        <v>0</v>
      </c>
      <c r="U109" s="411" t="e">
        <f>T109/$T$116</f>
        <v>#DIV/0!</v>
      </c>
    </row>
    <row r="110" spans="1:23" ht="12.75" customHeight="1">
      <c r="A110" s="412" t="str">
        <f>A$6</f>
        <v>Attiecināmais valsts budžeta finansējums</v>
      </c>
      <c r="B110" s="443">
        <f>IF($W106=2,B116-B109,0)</f>
        <v>0</v>
      </c>
      <c r="C110" s="443"/>
      <c r="D110" s="443">
        <f t="shared" ref="D110:R110" si="61">IF($W106=2,D116-D109,0)</f>
        <v>0</v>
      </c>
      <c r="E110" s="443"/>
      <c r="F110" s="443">
        <f t="shared" si="61"/>
        <v>0</v>
      </c>
      <c r="G110" s="443"/>
      <c r="H110" s="443">
        <f t="shared" si="61"/>
        <v>0</v>
      </c>
      <c r="I110" s="443"/>
      <c r="J110" s="443">
        <f t="shared" si="61"/>
        <v>0</v>
      </c>
      <c r="K110" s="443"/>
      <c r="L110" s="443">
        <f t="shared" si="61"/>
        <v>0</v>
      </c>
      <c r="M110" s="443"/>
      <c r="N110" s="443">
        <f t="shared" si="61"/>
        <v>0</v>
      </c>
      <c r="O110" s="443"/>
      <c r="P110" s="443">
        <f t="shared" si="61"/>
        <v>0</v>
      </c>
      <c r="Q110" s="443"/>
      <c r="R110" s="443">
        <f t="shared" si="61"/>
        <v>0</v>
      </c>
      <c r="S110" s="443"/>
      <c r="T110" s="410">
        <f t="shared" si="60"/>
        <v>0</v>
      </c>
      <c r="U110" s="411" t="e">
        <f t="shared" ref="U110:U116" si="62">T110/$T$116</f>
        <v>#DIV/0!</v>
      </c>
    </row>
    <row r="111" spans="1:23" ht="12.75" customHeight="1">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0"/>
        <v>0</v>
      </c>
      <c r="U111" s="411" t="e">
        <f t="shared" si="62"/>
        <v>#DIV/0!</v>
      </c>
    </row>
    <row r="112" spans="1:23" ht="12.75" customHeight="1">
      <c r="A112" s="412" t="str">
        <f>A$8</f>
        <v>Pašvaldības finansējums</v>
      </c>
      <c r="B112" s="444">
        <f>IF($W106=1,B116-B109-B111-B115,0)</f>
        <v>0</v>
      </c>
      <c r="C112" s="444"/>
      <c r="D112" s="444">
        <f t="shared" ref="D112:R112" si="63">IF($W106=1,D116-D109-D111-D115,0)</f>
        <v>0</v>
      </c>
      <c r="E112" s="444"/>
      <c r="F112" s="444">
        <f t="shared" si="63"/>
        <v>0</v>
      </c>
      <c r="G112" s="444"/>
      <c r="H112" s="444">
        <f t="shared" si="63"/>
        <v>0</v>
      </c>
      <c r="I112" s="444"/>
      <c r="J112" s="444">
        <f t="shared" si="63"/>
        <v>0</v>
      </c>
      <c r="K112" s="444"/>
      <c r="L112" s="444">
        <f t="shared" si="63"/>
        <v>0</v>
      </c>
      <c r="M112" s="444"/>
      <c r="N112" s="444">
        <f t="shared" si="63"/>
        <v>0</v>
      </c>
      <c r="O112" s="444"/>
      <c r="P112" s="444">
        <f t="shared" si="63"/>
        <v>0</v>
      </c>
      <c r="Q112" s="444"/>
      <c r="R112" s="444">
        <f t="shared" si="63"/>
        <v>0</v>
      </c>
      <c r="S112" s="444"/>
      <c r="T112" s="410">
        <f t="shared" si="60"/>
        <v>0</v>
      </c>
      <c r="U112" s="411" t="e">
        <f>T112/$T$116</f>
        <v>#DIV/0!</v>
      </c>
    </row>
    <row r="113" spans="1:23" s="3" customFormat="1" ht="12.75" customHeight="1">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60"/>
        <v>0</v>
      </c>
      <c r="U113" s="411" t="e">
        <f t="shared" si="62"/>
        <v>#DIV/0!</v>
      </c>
    </row>
    <row r="114" spans="1:23" ht="12.75" customHeight="1">
      <c r="A114" s="413" t="str">
        <f>A$10</f>
        <v>Publiskās attiecināmās izmaksas</v>
      </c>
      <c r="B114" s="311">
        <f>SUM(B109:B113)</f>
        <v>0</v>
      </c>
      <c r="C114" s="311"/>
      <c r="D114" s="311">
        <f t="shared" ref="D114:R114" si="64">SUM(D109:D113)</f>
        <v>0</v>
      </c>
      <c r="E114" s="311"/>
      <c r="F114" s="311">
        <f t="shared" si="64"/>
        <v>0</v>
      </c>
      <c r="G114" s="311"/>
      <c r="H114" s="311">
        <f t="shared" si="64"/>
        <v>0</v>
      </c>
      <c r="I114" s="311"/>
      <c r="J114" s="311">
        <f t="shared" si="64"/>
        <v>0</v>
      </c>
      <c r="K114" s="311"/>
      <c r="L114" s="311">
        <f t="shared" si="64"/>
        <v>0</v>
      </c>
      <c r="M114" s="311"/>
      <c r="N114" s="311">
        <f t="shared" si="64"/>
        <v>0</v>
      </c>
      <c r="O114" s="311"/>
      <c r="P114" s="311">
        <f t="shared" si="64"/>
        <v>0</v>
      </c>
      <c r="Q114" s="311"/>
      <c r="R114" s="311">
        <f t="shared" si="64"/>
        <v>0</v>
      </c>
      <c r="S114" s="311"/>
      <c r="T114" s="414">
        <f t="shared" si="60"/>
        <v>0</v>
      </c>
      <c r="U114" s="411" t="e">
        <f t="shared" si="62"/>
        <v>#DIV/0!</v>
      </c>
    </row>
    <row r="115" spans="1:23" ht="12.75" customHeight="1">
      <c r="A115" s="412" t="str">
        <f>A$11</f>
        <v>Privātās attiecināmās izmaksas</v>
      </c>
      <c r="B115" s="444">
        <f>IF($W$106=1,B116*'11. DL 4.pielikums'!$G$35-'9. DL PI Fin.plans'!B116*$L$106,B116-B109-B110-B111-B112-B113)</f>
        <v>0</v>
      </c>
      <c r="C115" s="444"/>
      <c r="D115" s="444">
        <f>IF($W$106=1,D116*'11. DL 4.pielikums'!$G$35-'9. DL PI Fin.plans'!D116*$L$106,D116-D109-D110-D111-D112-D113)</f>
        <v>0</v>
      </c>
      <c r="E115" s="444"/>
      <c r="F115" s="444">
        <f>IF($W$106=1,F116*'11. DL 4.pielikums'!$G$35-'9. DL PI Fin.plans'!F116*$L$106,F116-F109-F110-F111-F112-F113)</f>
        <v>0</v>
      </c>
      <c r="G115" s="444"/>
      <c r="H115" s="444">
        <f>IF($W$106=1,H116*'11. DL 4.pielikums'!$G$35-'9. DL PI Fin.plans'!H116*$L$106,H116-H109-H110-H111-H112-H113)</f>
        <v>0</v>
      </c>
      <c r="I115" s="444"/>
      <c r="J115" s="444">
        <f>IF($W$106=1,J116*'11. DL 4.pielikums'!$G$35-'9. DL PI Fin.plans'!J116*$L$106,J116-J109-J110-J111-J112-J113)</f>
        <v>0</v>
      </c>
      <c r="K115" s="444"/>
      <c r="L115" s="444">
        <f>IF($W$106=1,L116*'11. DL 4.pielikums'!$G$35-'9. DL PI Fin.plans'!L116*$L$106,L116-L109-L110-L111-L112-L113)</f>
        <v>0</v>
      </c>
      <c r="M115" s="444"/>
      <c r="N115" s="444">
        <f>IF($W$106=1,N116*'11. DL 4.pielikums'!$G$35-'9. DL PI Fin.plans'!N116*$L$106,N116-N109-N110-N111-N112-N113)</f>
        <v>0</v>
      </c>
      <c r="O115" s="444"/>
      <c r="P115" s="444">
        <f>IF($W$106=1,P116*'11. DL 4.pielikums'!$G$35-'9. DL PI Fin.plans'!P116*$L$106,P116-P109-P110-P111-P112-P113)</f>
        <v>0</v>
      </c>
      <c r="Q115" s="444"/>
      <c r="R115" s="444">
        <f>IF($W$106=1,R116*'11. DL 4.pielikums'!$G$35-'9. DL PI Fin.plans'!R116*$L$106,R116-R109-R110-R111-R112-R113)</f>
        <v>0</v>
      </c>
      <c r="S115" s="444"/>
      <c r="T115" s="410">
        <f t="shared" si="60"/>
        <v>0</v>
      </c>
      <c r="U115" s="411" t="e">
        <f t="shared" si="62"/>
        <v>#DIV/0!</v>
      </c>
    </row>
    <row r="116" spans="1:23" ht="12.75" customHeight="1">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62"/>
        <v>#DIV/0!</v>
      </c>
    </row>
    <row r="117" spans="1:23" ht="12.75" customHeight="1">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65">SUM(B117:R117)</f>
        <v>0</v>
      </c>
      <c r="U117" s="445" t="s">
        <v>318</v>
      </c>
    </row>
    <row r="118" spans="1:23" ht="12.75" customHeight="1">
      <c r="A118" s="412" t="str">
        <f>A$14</f>
        <v>Privātās neattiecināmās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65"/>
        <v>0</v>
      </c>
      <c r="U118" s="445" t="s">
        <v>318</v>
      </c>
    </row>
    <row r="119" spans="1:23" ht="12.75" customHeight="1">
      <c r="A119" s="413" t="str">
        <f>A$15</f>
        <v>Neattiecināmās izmaksas kopā</v>
      </c>
      <c r="B119" s="311">
        <f>SUM(B117:B118)</f>
        <v>0</v>
      </c>
      <c r="C119" s="311"/>
      <c r="D119" s="311">
        <f t="shared" ref="D119:R119" si="66">SUM(D117:D118)</f>
        <v>0</v>
      </c>
      <c r="E119" s="311"/>
      <c r="F119" s="311">
        <f t="shared" si="66"/>
        <v>0</v>
      </c>
      <c r="G119" s="311"/>
      <c r="H119" s="311">
        <f t="shared" si="66"/>
        <v>0</v>
      </c>
      <c r="I119" s="311"/>
      <c r="J119" s="311">
        <f t="shared" si="66"/>
        <v>0</v>
      </c>
      <c r="K119" s="311"/>
      <c r="L119" s="311">
        <f t="shared" si="66"/>
        <v>0</v>
      </c>
      <c r="M119" s="311"/>
      <c r="N119" s="311">
        <f t="shared" si="66"/>
        <v>0</v>
      </c>
      <c r="O119" s="311"/>
      <c r="P119" s="311">
        <f t="shared" si="66"/>
        <v>0</v>
      </c>
      <c r="Q119" s="311"/>
      <c r="R119" s="311">
        <f t="shared" si="66"/>
        <v>0</v>
      </c>
      <c r="S119" s="311"/>
      <c r="T119" s="414">
        <f t="shared" si="65"/>
        <v>0</v>
      </c>
      <c r="U119" s="445" t="s">
        <v>318</v>
      </c>
    </row>
    <row r="120" spans="1:23" ht="12.75" customHeight="1">
      <c r="A120" s="418" t="str">
        <f>A$16</f>
        <v>Kopējās izmaksas</v>
      </c>
      <c r="B120" s="419">
        <f>B116+B119</f>
        <v>0</v>
      </c>
      <c r="C120" s="419"/>
      <c r="D120" s="419">
        <f t="shared" ref="D120:R120" si="67">D116+D119</f>
        <v>0</v>
      </c>
      <c r="E120" s="419"/>
      <c r="F120" s="419">
        <f t="shared" si="67"/>
        <v>0</v>
      </c>
      <c r="G120" s="419"/>
      <c r="H120" s="419">
        <f t="shared" si="67"/>
        <v>0</v>
      </c>
      <c r="I120" s="419"/>
      <c r="J120" s="419">
        <f t="shared" si="67"/>
        <v>0</v>
      </c>
      <c r="K120" s="419"/>
      <c r="L120" s="419">
        <f t="shared" si="67"/>
        <v>0</v>
      </c>
      <c r="M120" s="419"/>
      <c r="N120" s="419">
        <f t="shared" si="67"/>
        <v>0</v>
      </c>
      <c r="O120" s="419"/>
      <c r="P120" s="419">
        <f t="shared" si="67"/>
        <v>0</v>
      </c>
      <c r="Q120" s="419"/>
      <c r="R120" s="419">
        <f t="shared" si="67"/>
        <v>0</v>
      </c>
      <c r="S120" s="419"/>
      <c r="T120" s="414">
        <f>SUM(B120:R120)</f>
        <v>0</v>
      </c>
      <c r="U120" s="445" t="s">
        <v>318</v>
      </c>
    </row>
    <row r="121" spans="1:23" ht="12.75" customHeight="1">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c r="A122" s="447" t="s">
        <v>330</v>
      </c>
      <c r="B122" s="435">
        <f>'1.2.1.B. Partneris-1'!C3</f>
        <v>0</v>
      </c>
      <c r="C122" s="436"/>
      <c r="D122" s="436"/>
      <c r="E122" s="436"/>
      <c r="F122" s="435">
        <f>'1.2.1.B. Partneris-1'!H3</f>
        <v>0</v>
      </c>
      <c r="G122" s="436"/>
      <c r="H122" s="437"/>
      <c r="I122" s="436"/>
      <c r="J122" s="437" t="s">
        <v>325</v>
      </c>
      <c r="K122" s="436"/>
      <c r="L122" s="439">
        <f>'1.2.1.B. Partneris-1'!C14</f>
        <v>1</v>
      </c>
      <c r="M122" s="436"/>
      <c r="N122" s="440" t="s">
        <v>333</v>
      </c>
      <c r="O122" s="436"/>
      <c r="P122" s="437"/>
      <c r="Q122" s="436"/>
      <c r="R122" s="437"/>
      <c r="S122" s="436"/>
      <c r="T122" s="437"/>
      <c r="U122" s="437"/>
      <c r="W122" s="4">
        <f>IF(F122=Dati!$J$3,1,IF(F122=Dati!$J$4,2,IF(F122=Dati!$J$5,3,0)))</f>
        <v>0</v>
      </c>
    </row>
    <row r="123" spans="1:23">
      <c r="A123" s="406" t="s">
        <v>310</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c r="A124" s="441"/>
      <c r="B124" s="408" t="s">
        <v>311</v>
      </c>
      <c r="C124" s="408"/>
      <c r="D124" s="408" t="s">
        <v>311</v>
      </c>
      <c r="E124" s="408"/>
      <c r="F124" s="408" t="s">
        <v>311</v>
      </c>
      <c r="G124" s="408"/>
      <c r="H124" s="408" t="s">
        <v>311</v>
      </c>
      <c r="I124" s="408"/>
      <c r="J124" s="408" t="s">
        <v>311</v>
      </c>
      <c r="K124" s="408"/>
      <c r="L124" s="408" t="s">
        <v>311</v>
      </c>
      <c r="M124" s="408"/>
      <c r="N124" s="408" t="s">
        <v>311</v>
      </c>
      <c r="O124" s="408"/>
      <c r="P124" s="408" t="s">
        <v>311</v>
      </c>
      <c r="Q124" s="408"/>
      <c r="R124" s="408" t="s">
        <v>311</v>
      </c>
      <c r="S124" s="408"/>
      <c r="T124" s="408" t="s">
        <v>190</v>
      </c>
      <c r="U124" s="408" t="s">
        <v>134</v>
      </c>
    </row>
    <row r="125" spans="1:23" ht="12.75" customHeight="1">
      <c r="A125" s="442" t="str">
        <f>A$5</f>
        <v>Eiropas Reģionālās attīstības fonds</v>
      </c>
      <c r="B125" s="443">
        <f>B132*$L$122</f>
        <v>0</v>
      </c>
      <c r="C125" s="443"/>
      <c r="D125" s="443">
        <f t="shared" ref="D125:R125" si="68">D132*$L$122</f>
        <v>0</v>
      </c>
      <c r="E125" s="443"/>
      <c r="F125" s="443">
        <f t="shared" si="68"/>
        <v>0</v>
      </c>
      <c r="G125" s="443"/>
      <c r="H125" s="443">
        <f t="shared" si="68"/>
        <v>0</v>
      </c>
      <c r="I125" s="443"/>
      <c r="J125" s="443">
        <f t="shared" si="68"/>
        <v>0</v>
      </c>
      <c r="K125" s="443"/>
      <c r="L125" s="443">
        <f t="shared" si="68"/>
        <v>0</v>
      </c>
      <c r="M125" s="443"/>
      <c r="N125" s="443">
        <f t="shared" si="68"/>
        <v>0</v>
      </c>
      <c r="O125" s="443"/>
      <c r="P125" s="443">
        <f t="shared" si="68"/>
        <v>0</v>
      </c>
      <c r="Q125" s="443"/>
      <c r="R125" s="443">
        <f t="shared" si="68"/>
        <v>0</v>
      </c>
      <c r="S125" s="443"/>
      <c r="T125" s="410">
        <f t="shared" ref="T125:T131" si="69">SUM(B125:R125)</f>
        <v>0</v>
      </c>
      <c r="U125" s="411" t="e">
        <f>T125/$T$132</f>
        <v>#DIV/0!</v>
      </c>
    </row>
    <row r="126" spans="1:23" ht="12.75" customHeight="1">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69"/>
        <v>0</v>
      </c>
      <c r="U126" s="411" t="e">
        <f t="shared" ref="U126:U132" si="70">T126/$T$132</f>
        <v>#DIV/0!</v>
      </c>
    </row>
    <row r="127" spans="1:23" ht="12.75" customHeight="1">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69"/>
        <v>0</v>
      </c>
      <c r="U127" s="411" t="e">
        <f t="shared" si="70"/>
        <v>#DIV/0!</v>
      </c>
    </row>
    <row r="128" spans="1:23" ht="12.75" customHeight="1">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69"/>
        <v>0</v>
      </c>
      <c r="U128" s="411" t="e">
        <f t="shared" si="70"/>
        <v>#DIV/0!</v>
      </c>
    </row>
    <row r="129" spans="1:24" s="3" customFormat="1" ht="12.75" customHeight="1">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69"/>
        <v>0</v>
      </c>
      <c r="U129" s="411" t="e">
        <f t="shared" si="70"/>
        <v>#DIV/0!</v>
      </c>
    </row>
    <row r="130" spans="1:24" ht="12.75" customHeight="1">
      <c r="A130" s="413" t="str">
        <f>A$10</f>
        <v>Publiskās attiecināmās izmaksas</v>
      </c>
      <c r="B130" s="311">
        <f>SUM(B125:B129)</f>
        <v>0</v>
      </c>
      <c r="C130" s="311"/>
      <c r="D130" s="311">
        <f t="shared" ref="D130:R130" si="71">SUM(D125:D129)</f>
        <v>0</v>
      </c>
      <c r="E130" s="311"/>
      <c r="F130" s="311">
        <f t="shared" si="71"/>
        <v>0</v>
      </c>
      <c r="G130" s="311"/>
      <c r="H130" s="311">
        <f t="shared" si="71"/>
        <v>0</v>
      </c>
      <c r="I130" s="311"/>
      <c r="J130" s="311">
        <f t="shared" si="71"/>
        <v>0</v>
      </c>
      <c r="K130" s="311"/>
      <c r="L130" s="311">
        <f t="shared" si="71"/>
        <v>0</v>
      </c>
      <c r="M130" s="311"/>
      <c r="N130" s="311">
        <f t="shared" si="71"/>
        <v>0</v>
      </c>
      <c r="O130" s="311"/>
      <c r="P130" s="311">
        <f t="shared" si="71"/>
        <v>0</v>
      </c>
      <c r="Q130" s="311"/>
      <c r="R130" s="311">
        <f t="shared" si="71"/>
        <v>0</v>
      </c>
      <c r="S130" s="311"/>
      <c r="T130" s="414">
        <f t="shared" si="69"/>
        <v>0</v>
      </c>
      <c r="U130" s="411" t="e">
        <f t="shared" si="70"/>
        <v>#DIV/0!</v>
      </c>
    </row>
    <row r="131" spans="1:24" ht="12.75" customHeight="1">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69"/>
        <v>0</v>
      </c>
      <c r="U131" s="411" t="e">
        <f t="shared" si="70"/>
        <v>#DIV/0!</v>
      </c>
    </row>
    <row r="132" spans="1:24" ht="12.75" customHeight="1">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70"/>
        <v>#DIV/0!</v>
      </c>
    </row>
    <row r="133" spans="1:24" ht="12.75" customHeight="1">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72">SUM(B133:R133)</f>
        <v>0</v>
      </c>
      <c r="U133" s="445" t="s">
        <v>318</v>
      </c>
    </row>
    <row r="134" spans="1:24" ht="12.75" customHeight="1">
      <c r="A134" s="412" t="str">
        <f>A$14</f>
        <v>Privātās neattiecināmās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72"/>
        <v>0</v>
      </c>
      <c r="U134" s="445" t="s">
        <v>318</v>
      </c>
    </row>
    <row r="135" spans="1:24" ht="12.75" customHeight="1">
      <c r="A135" s="413" t="str">
        <f>A$15</f>
        <v>Neattiecināmās izmaksas kopā</v>
      </c>
      <c r="B135" s="311">
        <f>SUM(B133:B134)</f>
        <v>0</v>
      </c>
      <c r="C135" s="311"/>
      <c r="D135" s="311">
        <f t="shared" ref="D135:R135" si="73">SUM(D133:D134)</f>
        <v>0</v>
      </c>
      <c r="E135" s="311"/>
      <c r="F135" s="311">
        <f t="shared" si="73"/>
        <v>0</v>
      </c>
      <c r="G135" s="311"/>
      <c r="H135" s="311">
        <f t="shared" si="73"/>
        <v>0</v>
      </c>
      <c r="I135" s="311"/>
      <c r="J135" s="311">
        <f t="shared" si="73"/>
        <v>0</v>
      </c>
      <c r="K135" s="311"/>
      <c r="L135" s="311">
        <f t="shared" si="73"/>
        <v>0</v>
      </c>
      <c r="M135" s="311"/>
      <c r="N135" s="311">
        <f t="shared" si="73"/>
        <v>0</v>
      </c>
      <c r="O135" s="311"/>
      <c r="P135" s="311">
        <f t="shared" si="73"/>
        <v>0</v>
      </c>
      <c r="Q135" s="311"/>
      <c r="R135" s="311">
        <f t="shared" si="73"/>
        <v>0</v>
      </c>
      <c r="S135" s="311"/>
      <c r="T135" s="414">
        <f t="shared" si="72"/>
        <v>0</v>
      </c>
      <c r="U135" s="445" t="s">
        <v>318</v>
      </c>
    </row>
    <row r="136" spans="1:24" ht="12.75" customHeight="1">
      <c r="A136" s="418" t="str">
        <f>A$16</f>
        <v>Kopējās izmaksas</v>
      </c>
      <c r="B136" s="419">
        <f>B132+B135</f>
        <v>0</v>
      </c>
      <c r="C136" s="419"/>
      <c r="D136" s="419">
        <f t="shared" ref="D136:R136" si="74">D132+D135</f>
        <v>0</v>
      </c>
      <c r="E136" s="419"/>
      <c r="F136" s="419">
        <f t="shared" si="74"/>
        <v>0</v>
      </c>
      <c r="G136" s="419"/>
      <c r="H136" s="419">
        <f t="shared" si="74"/>
        <v>0</v>
      </c>
      <c r="I136" s="419"/>
      <c r="J136" s="419">
        <f t="shared" si="74"/>
        <v>0</v>
      </c>
      <c r="K136" s="419"/>
      <c r="L136" s="419">
        <f t="shared" si="74"/>
        <v>0</v>
      </c>
      <c r="M136" s="419"/>
      <c r="N136" s="419">
        <f t="shared" si="74"/>
        <v>0</v>
      </c>
      <c r="O136" s="419"/>
      <c r="P136" s="419">
        <f t="shared" si="74"/>
        <v>0</v>
      </c>
      <c r="Q136" s="419"/>
      <c r="R136" s="419">
        <f t="shared" si="74"/>
        <v>0</v>
      </c>
      <c r="S136" s="419"/>
      <c r="T136" s="414">
        <f>SUM(B136:R136)</f>
        <v>0</v>
      </c>
      <c r="U136" s="445" t="s">
        <v>318</v>
      </c>
    </row>
    <row r="137" spans="1:24" ht="12.75" customHeight="1">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c r="A138" s="447" t="s">
        <v>330</v>
      </c>
      <c r="B138" s="435">
        <f>'1.2.1.C. Partneris-1'!C3</f>
        <v>0</v>
      </c>
      <c r="C138" s="436"/>
      <c r="D138" s="436"/>
      <c r="E138" s="436"/>
      <c r="F138" s="435">
        <f>'1.2.1.C. Partneris-1'!H3</f>
        <v>0</v>
      </c>
      <c r="G138" s="436"/>
      <c r="H138" s="437"/>
      <c r="I138" s="436"/>
      <c r="J138" s="437" t="s">
        <v>325</v>
      </c>
      <c r="K138" s="436"/>
      <c r="L138" s="439">
        <f>'1.2.1.C. Partneris-1'!C24</f>
        <v>0.85</v>
      </c>
      <c r="M138" s="436"/>
      <c r="N138" s="440" t="s">
        <v>334</v>
      </c>
      <c r="O138" s="436"/>
      <c r="P138" s="437"/>
      <c r="Q138" s="436"/>
      <c r="R138" s="437"/>
      <c r="S138" s="436"/>
      <c r="T138" s="437"/>
      <c r="U138" s="437"/>
      <c r="W138" s="4">
        <f>IF(F138=Dati!$J$3,1,IF(F138=Dati!$J$4,2,IF(F138=Dati!$J$5,3,0)))</f>
        <v>0</v>
      </c>
      <c r="X138" s="4">
        <f>'1.2.1.C. Partneris-1'!AA3</f>
        <v>0</v>
      </c>
    </row>
    <row r="139" spans="1:24">
      <c r="A139" s="406" t="s">
        <v>310</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c r="A140" s="441"/>
      <c r="B140" s="408" t="s">
        <v>311</v>
      </c>
      <c r="C140" s="408"/>
      <c r="D140" s="408" t="s">
        <v>311</v>
      </c>
      <c r="E140" s="408"/>
      <c r="F140" s="408" t="s">
        <v>311</v>
      </c>
      <c r="G140" s="408"/>
      <c r="H140" s="408" t="s">
        <v>311</v>
      </c>
      <c r="I140" s="408"/>
      <c r="J140" s="408" t="s">
        <v>311</v>
      </c>
      <c r="K140" s="408"/>
      <c r="L140" s="408" t="s">
        <v>311</v>
      </c>
      <c r="M140" s="408"/>
      <c r="N140" s="408" t="s">
        <v>311</v>
      </c>
      <c r="O140" s="408"/>
      <c r="P140" s="408" t="s">
        <v>311</v>
      </c>
      <c r="Q140" s="408"/>
      <c r="R140" s="408" t="s">
        <v>311</v>
      </c>
      <c r="S140" s="408"/>
      <c r="T140" s="408" t="s">
        <v>190</v>
      </c>
      <c r="U140" s="408" t="s">
        <v>134</v>
      </c>
    </row>
    <row r="141" spans="1:24" ht="12.75" customHeight="1">
      <c r="A141" s="442" t="str">
        <f>A$5</f>
        <v>Eiropas Reģionālās attīstības fonds</v>
      </c>
      <c r="B141" s="443">
        <f>(B148*$L$138)-B153</f>
        <v>0</v>
      </c>
      <c r="C141" s="443"/>
      <c r="D141" s="443">
        <f t="shared" ref="D141:R141" si="75">(D148*$L$138)-D153</f>
        <v>0</v>
      </c>
      <c r="E141" s="443"/>
      <c r="F141" s="443">
        <f t="shared" si="75"/>
        <v>0</v>
      </c>
      <c r="G141" s="443"/>
      <c r="H141" s="443">
        <f t="shared" si="75"/>
        <v>0</v>
      </c>
      <c r="I141" s="443"/>
      <c r="J141" s="443">
        <f t="shared" si="75"/>
        <v>0</v>
      </c>
      <c r="K141" s="443"/>
      <c r="L141" s="443">
        <f t="shared" si="75"/>
        <v>0</v>
      </c>
      <c r="M141" s="443"/>
      <c r="N141" s="443">
        <f t="shared" si="75"/>
        <v>0</v>
      </c>
      <c r="O141" s="443"/>
      <c r="P141" s="443">
        <f t="shared" si="75"/>
        <v>0</v>
      </c>
      <c r="Q141" s="443"/>
      <c r="R141" s="443">
        <f t="shared" si="75"/>
        <v>0</v>
      </c>
      <c r="S141" s="443"/>
      <c r="T141" s="410">
        <f>SUM(B141:R141)</f>
        <v>0</v>
      </c>
      <c r="U141" s="411" t="e">
        <f>T141/$T$148</f>
        <v>#DIV/0!</v>
      </c>
    </row>
    <row r="142" spans="1:24" ht="12.75" customHeight="1">
      <c r="A142" s="412" t="str">
        <f>A$6</f>
        <v>Attiecināmais valsts budžeta finansējums</v>
      </c>
      <c r="B142" s="443">
        <f>IF($W138=2,B148-B141,0)</f>
        <v>0</v>
      </c>
      <c r="C142" s="443"/>
      <c r="D142" s="443">
        <f t="shared" ref="D142:R142" si="76">IF($W138=2,D148-D141,0)</f>
        <v>0</v>
      </c>
      <c r="E142" s="443"/>
      <c r="F142" s="443">
        <f t="shared" si="76"/>
        <v>0</v>
      </c>
      <c r="G142" s="443"/>
      <c r="H142" s="443">
        <f t="shared" si="76"/>
        <v>0</v>
      </c>
      <c r="I142" s="443"/>
      <c r="J142" s="443">
        <f t="shared" si="76"/>
        <v>0</v>
      </c>
      <c r="K142" s="443"/>
      <c r="L142" s="443">
        <f t="shared" si="76"/>
        <v>0</v>
      </c>
      <c r="M142" s="443"/>
      <c r="N142" s="443">
        <f t="shared" si="76"/>
        <v>0</v>
      </c>
      <c r="O142" s="443"/>
      <c r="P142" s="443">
        <f t="shared" si="76"/>
        <v>0</v>
      </c>
      <c r="Q142" s="443"/>
      <c r="R142" s="443">
        <f t="shared" si="76"/>
        <v>0</v>
      </c>
      <c r="S142" s="443"/>
      <c r="T142" s="410">
        <f t="shared" ref="T142:T147" si="77">SUM(B142:R142)</f>
        <v>0</v>
      </c>
      <c r="U142" s="411" t="e">
        <f t="shared" ref="U142:U147" si="78">T142/$T$148</f>
        <v>#DIV/0!</v>
      </c>
    </row>
    <row r="143" spans="1:24" ht="12.75" customHeight="1">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77"/>
        <v>0</v>
      </c>
      <c r="U143" s="411" t="e">
        <f t="shared" si="78"/>
        <v>#DIV/0!</v>
      </c>
    </row>
    <row r="144" spans="1:24" ht="12.75" customHeight="1">
      <c r="A144" s="412" t="str">
        <f>A$8</f>
        <v>Pašvaldības finansējums</v>
      </c>
      <c r="B144" s="444">
        <f>IF($W138=1,B148-B141-B143-B147-B145,0)</f>
        <v>0</v>
      </c>
      <c r="C144" s="444"/>
      <c r="D144" s="444">
        <f t="shared" ref="D144:R144" si="79">IF($W138=1,D148-D141-D143-D147-D145,0)</f>
        <v>0</v>
      </c>
      <c r="E144" s="444"/>
      <c r="F144" s="444">
        <f t="shared" si="79"/>
        <v>0</v>
      </c>
      <c r="G144" s="444"/>
      <c r="H144" s="444">
        <f t="shared" si="79"/>
        <v>0</v>
      </c>
      <c r="I144" s="444"/>
      <c r="J144" s="444">
        <f t="shared" si="79"/>
        <v>0</v>
      </c>
      <c r="K144" s="444"/>
      <c r="L144" s="444">
        <f t="shared" si="79"/>
        <v>0</v>
      </c>
      <c r="M144" s="444"/>
      <c r="N144" s="444">
        <f t="shared" si="79"/>
        <v>0</v>
      </c>
      <c r="O144" s="444"/>
      <c r="P144" s="444">
        <f t="shared" si="79"/>
        <v>0</v>
      </c>
      <c r="Q144" s="444"/>
      <c r="R144" s="444">
        <f t="shared" si="79"/>
        <v>0</v>
      </c>
      <c r="S144" s="444"/>
      <c r="T144" s="410">
        <f t="shared" si="77"/>
        <v>0</v>
      </c>
      <c r="U144" s="411" t="e">
        <f t="shared" si="78"/>
        <v>#DIV/0!</v>
      </c>
    </row>
    <row r="145" spans="1:23" s="3" customFormat="1" ht="12.75" customHeight="1">
      <c r="A145" s="412" t="str">
        <f>A$9</f>
        <v>Cits publiskais finansējums</v>
      </c>
      <c r="B145" s="444">
        <f>IF($X$138=2,B148*(1-$L$138),0)</f>
        <v>0</v>
      </c>
      <c r="C145" s="444"/>
      <c r="D145" s="444">
        <f t="shared" ref="D145:R145" si="80">IF($X$138=2,D148*(1-$L$138),0)</f>
        <v>0</v>
      </c>
      <c r="E145" s="444"/>
      <c r="F145" s="444">
        <f t="shared" si="80"/>
        <v>0</v>
      </c>
      <c r="G145" s="444"/>
      <c r="H145" s="444">
        <f t="shared" si="80"/>
        <v>0</v>
      </c>
      <c r="I145" s="444"/>
      <c r="J145" s="444">
        <f t="shared" si="80"/>
        <v>0</v>
      </c>
      <c r="K145" s="444"/>
      <c r="L145" s="444">
        <f t="shared" si="80"/>
        <v>0</v>
      </c>
      <c r="M145" s="444"/>
      <c r="N145" s="444">
        <f t="shared" si="80"/>
        <v>0</v>
      </c>
      <c r="O145" s="444"/>
      <c r="P145" s="444">
        <f t="shared" si="80"/>
        <v>0</v>
      </c>
      <c r="Q145" s="444"/>
      <c r="R145" s="444">
        <f t="shared" si="80"/>
        <v>0</v>
      </c>
      <c r="S145" s="444"/>
      <c r="T145" s="410">
        <f t="shared" si="77"/>
        <v>0</v>
      </c>
      <c r="U145" s="411" t="e">
        <f t="shared" si="78"/>
        <v>#DIV/0!</v>
      </c>
    </row>
    <row r="146" spans="1:23" ht="12.75" customHeight="1">
      <c r="A146" s="413" t="str">
        <f>A$10</f>
        <v>Publiskās attiecināmās izmaksas</v>
      </c>
      <c r="B146" s="311">
        <f>SUM(B141:B145)</f>
        <v>0</v>
      </c>
      <c r="C146" s="311"/>
      <c r="D146" s="311">
        <f t="shared" ref="D146:R146" si="81">SUM(D141:D145)</f>
        <v>0</v>
      </c>
      <c r="E146" s="311"/>
      <c r="F146" s="311">
        <f t="shared" si="81"/>
        <v>0</v>
      </c>
      <c r="G146" s="311"/>
      <c r="H146" s="311">
        <f t="shared" si="81"/>
        <v>0</v>
      </c>
      <c r="I146" s="311"/>
      <c r="J146" s="311">
        <f t="shared" si="81"/>
        <v>0</v>
      </c>
      <c r="K146" s="311"/>
      <c r="L146" s="311">
        <f t="shared" si="81"/>
        <v>0</v>
      </c>
      <c r="M146" s="311"/>
      <c r="N146" s="311">
        <f t="shared" si="81"/>
        <v>0</v>
      </c>
      <c r="O146" s="311"/>
      <c r="P146" s="311">
        <f t="shared" si="81"/>
        <v>0</v>
      </c>
      <c r="Q146" s="311"/>
      <c r="R146" s="311">
        <f t="shared" si="81"/>
        <v>0</v>
      </c>
      <c r="S146" s="311"/>
      <c r="T146" s="414">
        <f t="shared" si="77"/>
        <v>0</v>
      </c>
      <c r="U146" s="411" t="e">
        <f>T146/$T$148</f>
        <v>#DIV/0!</v>
      </c>
    </row>
    <row r="147" spans="1:23" ht="12.75" customHeight="1">
      <c r="A147" s="412" t="str">
        <f>A$11</f>
        <v>Privātās attiecināmās izmaksas</v>
      </c>
      <c r="B147" s="444" t="b">
        <f>IF($W$138=1,0,IF($W$138=3,IF($X$138=1,B148-B146,0)))</f>
        <v>0</v>
      </c>
      <c r="C147" s="444"/>
      <c r="D147" s="444" t="b">
        <f t="shared" ref="D147:R147" si="82">IF($W$138=1,0,IF($W$138=3,IF($X$138=1,D148-D146,0)))</f>
        <v>0</v>
      </c>
      <c r="E147" s="444"/>
      <c r="F147" s="444" t="b">
        <f t="shared" si="82"/>
        <v>0</v>
      </c>
      <c r="G147" s="444"/>
      <c r="H147" s="444" t="b">
        <f t="shared" si="82"/>
        <v>0</v>
      </c>
      <c r="I147" s="444"/>
      <c r="J147" s="444" t="b">
        <f t="shared" si="82"/>
        <v>0</v>
      </c>
      <c r="K147" s="444"/>
      <c r="L147" s="444" t="b">
        <f t="shared" si="82"/>
        <v>0</v>
      </c>
      <c r="M147" s="444"/>
      <c r="N147" s="444" t="b">
        <f t="shared" si="82"/>
        <v>0</v>
      </c>
      <c r="O147" s="444"/>
      <c r="P147" s="444" t="b">
        <f t="shared" si="82"/>
        <v>0</v>
      </c>
      <c r="Q147" s="444"/>
      <c r="R147" s="444" t="b">
        <f t="shared" si="82"/>
        <v>0</v>
      </c>
      <c r="S147" s="444"/>
      <c r="T147" s="410">
        <f t="shared" si="77"/>
        <v>0</v>
      </c>
      <c r="U147" s="411" t="e">
        <f t="shared" si="78"/>
        <v>#DIV/0!</v>
      </c>
    </row>
    <row r="148" spans="1:23" ht="12.75" customHeight="1">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customHeight="1">
      <c r="A149" s="412" t="str">
        <f>A$13</f>
        <v>Publiskās neattiecināmās izmaksas</v>
      </c>
      <c r="B149" s="444" t="b">
        <f>IF($W138=1,B154,IF($W138=3,IF($X138=1,0,B154)))</f>
        <v>0</v>
      </c>
      <c r="C149" s="444"/>
      <c r="D149" s="444" t="b">
        <f t="shared" ref="D149:R149" si="83">IF($W138=1,D154,IF($W138=3,IF($X138=1,0,D154)))</f>
        <v>0</v>
      </c>
      <c r="E149" s="444"/>
      <c r="F149" s="444" t="b">
        <f t="shared" si="83"/>
        <v>0</v>
      </c>
      <c r="G149" s="444"/>
      <c r="H149" s="444" t="b">
        <f t="shared" si="83"/>
        <v>0</v>
      </c>
      <c r="I149" s="444"/>
      <c r="J149" s="444" t="b">
        <f t="shared" si="83"/>
        <v>0</v>
      </c>
      <c r="K149" s="444"/>
      <c r="L149" s="444" t="b">
        <f t="shared" si="83"/>
        <v>0</v>
      </c>
      <c r="M149" s="444"/>
      <c r="N149" s="444" t="b">
        <f t="shared" si="83"/>
        <v>0</v>
      </c>
      <c r="O149" s="444"/>
      <c r="P149" s="444" t="b">
        <f t="shared" si="83"/>
        <v>0</v>
      </c>
      <c r="Q149" s="444"/>
      <c r="R149" s="444" t="b">
        <f t="shared" si="83"/>
        <v>0</v>
      </c>
      <c r="S149" s="444"/>
      <c r="T149" s="410">
        <f t="shared" ref="T149:T151" si="84">SUM(B149:R149)</f>
        <v>0</v>
      </c>
      <c r="U149" s="445" t="s">
        <v>318</v>
      </c>
    </row>
    <row r="150" spans="1:23" ht="12.75" customHeight="1">
      <c r="A150" s="412" t="str">
        <f>A$14</f>
        <v>Privātās neattiecināmās izmaksas</v>
      </c>
      <c r="B150" s="444">
        <f>IF($X138=2,0,IF($X138=1,B154,IF($W138=1,0,IF($W138=3,B154,0))))</f>
        <v>0</v>
      </c>
      <c r="C150" s="444"/>
      <c r="D150" s="444">
        <f t="shared" ref="D150:R150" si="85">IF($X138=2,0,IF($X138=1,D154,IF($W138=1,0,IF($W138=3,D154,0))))</f>
        <v>0</v>
      </c>
      <c r="E150" s="444"/>
      <c r="F150" s="444">
        <f t="shared" si="85"/>
        <v>0</v>
      </c>
      <c r="G150" s="444"/>
      <c r="H150" s="444">
        <f t="shared" si="85"/>
        <v>0</v>
      </c>
      <c r="I150" s="444"/>
      <c r="J150" s="444">
        <f t="shared" si="85"/>
        <v>0</v>
      </c>
      <c r="K150" s="444"/>
      <c r="L150" s="444">
        <f t="shared" si="85"/>
        <v>0</v>
      </c>
      <c r="M150" s="444"/>
      <c r="N150" s="444">
        <f t="shared" si="85"/>
        <v>0</v>
      </c>
      <c r="O150" s="444"/>
      <c r="P150" s="444">
        <f t="shared" si="85"/>
        <v>0</v>
      </c>
      <c r="Q150" s="444"/>
      <c r="R150" s="444">
        <f t="shared" si="85"/>
        <v>0</v>
      </c>
      <c r="S150" s="444"/>
      <c r="T150" s="410">
        <f t="shared" si="84"/>
        <v>0</v>
      </c>
      <c r="U150" s="445" t="s">
        <v>318</v>
      </c>
    </row>
    <row r="151" spans="1:23" ht="12.75" customHeight="1">
      <c r="A151" s="413" t="str">
        <f>A$15</f>
        <v>Neattiecināmās izmaksas kopā</v>
      </c>
      <c r="B151" s="311">
        <f>SUM(B149:B150)</f>
        <v>0</v>
      </c>
      <c r="C151" s="311"/>
      <c r="D151" s="311">
        <f>'1.2.1.C. Partneris-1'!K24</f>
        <v>0</v>
      </c>
      <c r="E151" s="311"/>
      <c r="F151" s="311">
        <f>'1.2.1.C. Partneris-1'!M24</f>
        <v>0</v>
      </c>
      <c r="G151" s="311"/>
      <c r="H151" s="311">
        <f>'1.2.1.C. Partneris-1'!O24</f>
        <v>0</v>
      </c>
      <c r="I151" s="311"/>
      <c r="J151" s="311">
        <f>'1.2.1.C. Partneris-1'!Q24</f>
        <v>0</v>
      </c>
      <c r="K151" s="311"/>
      <c r="L151" s="311">
        <f>'1.2.1.C. Partneris-1'!S24</f>
        <v>0</v>
      </c>
      <c r="M151" s="311"/>
      <c r="N151" s="311">
        <f>'1.2.1.C. Partneris-1'!U24</f>
        <v>0</v>
      </c>
      <c r="O151" s="311"/>
      <c r="P151" s="311">
        <f>'1.2.1.C. Partneris-1'!W24</f>
        <v>0</v>
      </c>
      <c r="Q151" s="311"/>
      <c r="R151" s="311">
        <f>'1.2.1.C. Partneris-1'!Y24</f>
        <v>0</v>
      </c>
      <c r="S151" s="311"/>
      <c r="T151" s="414">
        <f t="shared" si="84"/>
        <v>0</v>
      </c>
      <c r="U151" s="445" t="s">
        <v>318</v>
      </c>
    </row>
    <row r="152" spans="1:23" ht="12.75" customHeight="1">
      <c r="A152" s="418" t="str">
        <f>A$16</f>
        <v>Kopējās izmaksas</v>
      </c>
      <c r="B152" s="419">
        <f>B148+B151</f>
        <v>0</v>
      </c>
      <c r="C152" s="419"/>
      <c r="D152" s="419">
        <f t="shared" ref="D152:R152" si="86">D148+D151</f>
        <v>0</v>
      </c>
      <c r="E152" s="419"/>
      <c r="F152" s="419">
        <f t="shared" si="86"/>
        <v>0</v>
      </c>
      <c r="G152" s="419"/>
      <c r="H152" s="419">
        <f t="shared" si="86"/>
        <v>0</v>
      </c>
      <c r="I152" s="419"/>
      <c r="J152" s="419">
        <f t="shared" si="86"/>
        <v>0</v>
      </c>
      <c r="K152" s="419"/>
      <c r="L152" s="419">
        <f t="shared" si="86"/>
        <v>0</v>
      </c>
      <c r="M152" s="419"/>
      <c r="N152" s="419">
        <f t="shared" si="86"/>
        <v>0</v>
      </c>
      <c r="O152" s="419"/>
      <c r="P152" s="419">
        <f t="shared" si="86"/>
        <v>0</v>
      </c>
      <c r="Q152" s="419"/>
      <c r="R152" s="419">
        <f t="shared" si="86"/>
        <v>0</v>
      </c>
      <c r="S152" s="419"/>
      <c r="T152" s="414">
        <f>SUM(B152:R152)</f>
        <v>0</v>
      </c>
      <c r="U152" s="445" t="s">
        <v>318</v>
      </c>
    </row>
    <row r="153" spans="1:23">
      <c r="A153" s="448" t="s">
        <v>335</v>
      </c>
      <c r="B153" s="449">
        <f>B148*$L$138*$W$20</f>
        <v>0</v>
      </c>
      <c r="C153" s="449"/>
      <c r="D153" s="449">
        <f t="shared" ref="D153:R153" si="87">D148*$L$138*$W$20</f>
        <v>0</v>
      </c>
      <c r="E153" s="449"/>
      <c r="F153" s="449">
        <f t="shared" si="87"/>
        <v>0</v>
      </c>
      <c r="G153" s="449"/>
      <c r="H153" s="449">
        <f t="shared" si="87"/>
        <v>0</v>
      </c>
      <c r="I153" s="449"/>
      <c r="J153" s="449">
        <f t="shared" si="87"/>
        <v>0</v>
      </c>
      <c r="K153" s="449"/>
      <c r="L153" s="449">
        <f t="shared" si="87"/>
        <v>0</v>
      </c>
      <c r="M153" s="449"/>
      <c r="N153" s="449">
        <f t="shared" si="87"/>
        <v>0</v>
      </c>
      <c r="O153" s="449"/>
      <c r="P153" s="449">
        <f t="shared" si="87"/>
        <v>0</v>
      </c>
      <c r="Q153" s="449"/>
      <c r="R153" s="449">
        <f t="shared" si="87"/>
        <v>0</v>
      </c>
      <c r="T153" s="449">
        <f>IF(X138=1,0,SUM(B153:R153))</f>
        <v>0</v>
      </c>
    </row>
    <row r="154" spans="1:23">
      <c r="A154" s="448" t="s">
        <v>320</v>
      </c>
      <c r="B154" s="449">
        <f>IF(B23=2,'1.2.1.C. Partneris-1'!I24,'1.2.1.C. Partneris-1'!I24*B23)</f>
        <v>0</v>
      </c>
      <c r="C154" s="449"/>
      <c r="D154" s="449">
        <f>IF(D23=2,'1.2.1.C. Partneris-1'!K24,'1.2.1.C. Partneris-1'!K24*D23)</f>
        <v>0</v>
      </c>
      <c r="E154" s="449"/>
      <c r="F154" s="449">
        <f>IF(F23=2,'1.2.1.C. Partneris-1'!M24,'1.2.1.C. Partneris-1'!M24*F23)</f>
        <v>0</v>
      </c>
      <c r="G154" s="449"/>
      <c r="H154" s="449">
        <f>IF(H23=2,'1.2.1.C. Partneris-1'!O24,'1.2.1.C.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row>
    <row r="156" spans="1:23" ht="24" customHeight="1">
      <c r="A156" s="450" t="s">
        <v>336</v>
      </c>
      <c r="B156" s="435">
        <f>'1.2.2.A. Partneris-2'!C3</f>
        <v>0</v>
      </c>
      <c r="C156" s="436"/>
      <c r="D156" s="436"/>
      <c r="E156" s="436"/>
      <c r="F156" s="435">
        <f>'1.2.2.A. Partneris-2'!H3</f>
        <v>0</v>
      </c>
      <c r="G156" s="436"/>
      <c r="H156" s="437"/>
      <c r="I156" s="436"/>
      <c r="J156" s="437" t="s">
        <v>325</v>
      </c>
      <c r="K156" s="436"/>
      <c r="L156" s="439">
        <f>'1.2.2.A. Partneris-2'!C24</f>
        <v>0.85</v>
      </c>
      <c r="M156" s="436"/>
      <c r="N156" s="440" t="s">
        <v>331</v>
      </c>
      <c r="O156" s="436"/>
      <c r="P156" s="437"/>
      <c r="Q156" s="436"/>
      <c r="R156" s="437"/>
      <c r="S156" s="436"/>
      <c r="T156" s="437"/>
      <c r="U156" s="437"/>
      <c r="W156" s="4">
        <f>IF(F156=Dati!$J$3,1,IF(F156=Dati!$J$4,2,IF(F156=Dati!$J$5,3,0)))</f>
        <v>0</v>
      </c>
    </row>
    <row r="157" spans="1:23">
      <c r="A157" s="406" t="s">
        <v>310</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c r="A158" s="441"/>
      <c r="B158" s="408" t="s">
        <v>311</v>
      </c>
      <c r="C158" s="408"/>
      <c r="D158" s="408" t="s">
        <v>311</v>
      </c>
      <c r="E158" s="408"/>
      <c r="F158" s="408" t="s">
        <v>311</v>
      </c>
      <c r="G158" s="408"/>
      <c r="H158" s="408" t="s">
        <v>311</v>
      </c>
      <c r="I158" s="408"/>
      <c r="J158" s="408" t="s">
        <v>311</v>
      </c>
      <c r="K158" s="408"/>
      <c r="L158" s="408" t="s">
        <v>311</v>
      </c>
      <c r="M158" s="408"/>
      <c r="N158" s="408" t="s">
        <v>311</v>
      </c>
      <c r="O158" s="408"/>
      <c r="P158" s="408" t="s">
        <v>311</v>
      </c>
      <c r="Q158" s="408"/>
      <c r="R158" s="408" t="s">
        <v>311</v>
      </c>
      <c r="S158" s="408"/>
      <c r="T158" s="408" t="s">
        <v>190</v>
      </c>
      <c r="U158" s="408" t="s">
        <v>134</v>
      </c>
    </row>
    <row r="159" spans="1:23" ht="12.75" customHeight="1">
      <c r="A159" s="442" t="str">
        <f>A$5</f>
        <v>Eiropas Reģionālās attīstības fonds</v>
      </c>
      <c r="B159" s="443">
        <f>B166*$L$156</f>
        <v>0</v>
      </c>
      <c r="C159" s="443"/>
      <c r="D159" s="443">
        <f t="shared" ref="D159:R159" si="88">D166*$L$156</f>
        <v>0</v>
      </c>
      <c r="E159" s="443"/>
      <c r="F159" s="443">
        <f t="shared" si="88"/>
        <v>0</v>
      </c>
      <c r="G159" s="443"/>
      <c r="H159" s="443">
        <f t="shared" si="88"/>
        <v>0</v>
      </c>
      <c r="I159" s="443"/>
      <c r="J159" s="443">
        <f t="shared" si="88"/>
        <v>0</v>
      </c>
      <c r="K159" s="443"/>
      <c r="L159" s="443">
        <f t="shared" si="88"/>
        <v>0</v>
      </c>
      <c r="M159" s="443"/>
      <c r="N159" s="443">
        <f t="shared" si="88"/>
        <v>0</v>
      </c>
      <c r="O159" s="443"/>
      <c r="P159" s="443">
        <f t="shared" si="88"/>
        <v>0</v>
      </c>
      <c r="Q159" s="443"/>
      <c r="R159" s="443">
        <f t="shared" si="88"/>
        <v>0</v>
      </c>
      <c r="S159" s="443"/>
      <c r="T159" s="410">
        <f t="shared" ref="T159:T166" si="89">SUM(B159:R159)</f>
        <v>0</v>
      </c>
      <c r="U159" s="411" t="e">
        <f>T159/$T$166</f>
        <v>#DIV/0!</v>
      </c>
    </row>
    <row r="160" spans="1:23" ht="12.75" customHeight="1">
      <c r="A160" s="412" t="str">
        <f>A$6</f>
        <v>Attiecināmais valsts budžeta finansējums</v>
      </c>
      <c r="B160" s="443">
        <f>IF($W156=2,B166-B159,0)</f>
        <v>0</v>
      </c>
      <c r="C160" s="443"/>
      <c r="D160" s="443">
        <f t="shared" ref="D160:R160" si="90">IF($W156=2,D166-D159,0)</f>
        <v>0</v>
      </c>
      <c r="E160" s="443"/>
      <c r="F160" s="443">
        <f t="shared" si="90"/>
        <v>0</v>
      </c>
      <c r="G160" s="443"/>
      <c r="H160" s="443">
        <f t="shared" si="90"/>
        <v>0</v>
      </c>
      <c r="I160" s="443"/>
      <c r="J160" s="443">
        <f t="shared" si="90"/>
        <v>0</v>
      </c>
      <c r="K160" s="443"/>
      <c r="L160" s="443">
        <f t="shared" si="90"/>
        <v>0</v>
      </c>
      <c r="M160" s="443"/>
      <c r="N160" s="443">
        <f t="shared" si="90"/>
        <v>0</v>
      </c>
      <c r="O160" s="443"/>
      <c r="P160" s="443">
        <f t="shared" si="90"/>
        <v>0</v>
      </c>
      <c r="Q160" s="443"/>
      <c r="R160" s="443">
        <f t="shared" si="90"/>
        <v>0</v>
      </c>
      <c r="S160" s="443"/>
      <c r="T160" s="410">
        <f t="shared" si="89"/>
        <v>0</v>
      </c>
      <c r="U160" s="411" t="e">
        <f t="shared" ref="U160:U166" si="91">T160/$T$166</f>
        <v>#DIV/0!</v>
      </c>
    </row>
    <row r="161" spans="1:23" ht="12.75" customHeight="1">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89"/>
        <v>0</v>
      </c>
      <c r="U161" s="411" t="e">
        <f t="shared" si="91"/>
        <v>#DIV/0!</v>
      </c>
    </row>
    <row r="162" spans="1:23" ht="12.75" customHeight="1">
      <c r="A162" s="412" t="str">
        <f>A$8</f>
        <v>Pašvaldības finansējums</v>
      </c>
      <c r="B162" s="444">
        <f>IF($W156=1,B166-B159-B161,0)</f>
        <v>0</v>
      </c>
      <c r="C162" s="444"/>
      <c r="D162" s="444">
        <f t="shared" ref="D162:R162" si="92">IF($W156=1,D166-D159-D161,0)</f>
        <v>0</v>
      </c>
      <c r="E162" s="444"/>
      <c r="F162" s="444">
        <f t="shared" si="92"/>
        <v>0</v>
      </c>
      <c r="G162" s="444"/>
      <c r="H162" s="444">
        <f t="shared" si="92"/>
        <v>0</v>
      </c>
      <c r="I162" s="444"/>
      <c r="J162" s="444">
        <f t="shared" si="92"/>
        <v>0</v>
      </c>
      <c r="K162" s="444"/>
      <c r="L162" s="444">
        <f t="shared" si="92"/>
        <v>0</v>
      </c>
      <c r="M162" s="444"/>
      <c r="N162" s="444">
        <f t="shared" si="92"/>
        <v>0</v>
      </c>
      <c r="O162" s="444"/>
      <c r="P162" s="444">
        <f t="shared" si="92"/>
        <v>0</v>
      </c>
      <c r="Q162" s="444"/>
      <c r="R162" s="444">
        <f t="shared" si="92"/>
        <v>0</v>
      </c>
      <c r="S162" s="444"/>
      <c r="T162" s="410">
        <f t="shared" si="89"/>
        <v>0</v>
      </c>
      <c r="U162" s="411" t="e">
        <f t="shared" si="91"/>
        <v>#DIV/0!</v>
      </c>
    </row>
    <row r="163" spans="1:23" s="3" customFormat="1" ht="12.75" customHeight="1">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89"/>
        <v>0</v>
      </c>
      <c r="U163" s="411" t="e">
        <f t="shared" si="91"/>
        <v>#DIV/0!</v>
      </c>
    </row>
    <row r="164" spans="1:23" ht="12.75" customHeight="1">
      <c r="A164" s="413" t="str">
        <f>A$10</f>
        <v>Publiskās attiecināmās izmaksas</v>
      </c>
      <c r="B164" s="311">
        <f>SUM(B159:B163)</f>
        <v>0</v>
      </c>
      <c r="C164" s="311"/>
      <c r="D164" s="311">
        <f t="shared" ref="D164:R164" si="93">SUM(D159:D163)</f>
        <v>0</v>
      </c>
      <c r="E164" s="311"/>
      <c r="F164" s="311">
        <f t="shared" si="93"/>
        <v>0</v>
      </c>
      <c r="G164" s="311"/>
      <c r="H164" s="311">
        <f t="shared" si="93"/>
        <v>0</v>
      </c>
      <c r="I164" s="311"/>
      <c r="J164" s="311">
        <f t="shared" si="93"/>
        <v>0</v>
      </c>
      <c r="K164" s="311"/>
      <c r="L164" s="311">
        <f t="shared" si="93"/>
        <v>0</v>
      </c>
      <c r="M164" s="311"/>
      <c r="N164" s="311">
        <f t="shared" si="93"/>
        <v>0</v>
      </c>
      <c r="O164" s="311"/>
      <c r="P164" s="311">
        <f t="shared" si="93"/>
        <v>0</v>
      </c>
      <c r="Q164" s="311"/>
      <c r="R164" s="311">
        <f t="shared" si="93"/>
        <v>0</v>
      </c>
      <c r="S164" s="311"/>
      <c r="T164" s="414">
        <f t="shared" si="89"/>
        <v>0</v>
      </c>
      <c r="U164" s="411" t="e">
        <f t="shared" si="91"/>
        <v>#DIV/0!</v>
      </c>
    </row>
    <row r="165" spans="1:23" ht="12.75" customHeight="1">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89"/>
        <v>0</v>
      </c>
      <c r="U165" s="411" t="e">
        <f t="shared" si="91"/>
        <v>#DIV/0!</v>
      </c>
    </row>
    <row r="166" spans="1:23" ht="12.75" customHeight="1">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89"/>
        <v>0</v>
      </c>
      <c r="U166" s="411" t="e">
        <f t="shared" si="91"/>
        <v>#DIV/0!</v>
      </c>
    </row>
    <row r="167" spans="1:23" ht="12.75" customHeight="1">
      <c r="A167" s="412" t="str">
        <f>A$13</f>
        <v>Publiskās neattiecināmās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94">SUM(B167:R167)</f>
        <v>0</v>
      </c>
      <c r="U167" s="445" t="s">
        <v>318</v>
      </c>
    </row>
    <row r="168" spans="1:23" ht="12.75" customHeight="1">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94"/>
        <v>0</v>
      </c>
      <c r="U168" s="445" t="s">
        <v>318</v>
      </c>
    </row>
    <row r="169" spans="1:23" ht="12.75" customHeight="1">
      <c r="A169" s="413" t="str">
        <f>A$15</f>
        <v>Neattiecināmās izmaksas kopā</v>
      </c>
      <c r="B169" s="311">
        <f>SUM(B167:B168)</f>
        <v>0</v>
      </c>
      <c r="C169" s="311"/>
      <c r="D169" s="311">
        <f t="shared" ref="D169:R169" si="95">SUM(D167:D168)</f>
        <v>0</v>
      </c>
      <c r="E169" s="311"/>
      <c r="F169" s="311">
        <f t="shared" si="95"/>
        <v>0</v>
      </c>
      <c r="G169" s="311"/>
      <c r="H169" s="311">
        <f t="shared" si="95"/>
        <v>0</v>
      </c>
      <c r="I169" s="311"/>
      <c r="J169" s="311">
        <f t="shared" si="95"/>
        <v>0</v>
      </c>
      <c r="K169" s="311"/>
      <c r="L169" s="311">
        <f t="shared" si="95"/>
        <v>0</v>
      </c>
      <c r="M169" s="311"/>
      <c r="N169" s="311">
        <f t="shared" si="95"/>
        <v>0</v>
      </c>
      <c r="O169" s="311"/>
      <c r="P169" s="311">
        <f t="shared" si="95"/>
        <v>0</v>
      </c>
      <c r="Q169" s="311"/>
      <c r="R169" s="311">
        <f t="shared" si="95"/>
        <v>0</v>
      </c>
      <c r="S169" s="311"/>
      <c r="T169" s="414">
        <f t="shared" si="94"/>
        <v>0</v>
      </c>
      <c r="U169" s="445" t="s">
        <v>318</v>
      </c>
    </row>
    <row r="170" spans="1:23" ht="12.75" customHeight="1">
      <c r="A170" s="418" t="str">
        <f>A$16</f>
        <v>Kopējās izmaksas</v>
      </c>
      <c r="B170" s="419">
        <f>B166+B169</f>
        <v>0</v>
      </c>
      <c r="C170" s="419"/>
      <c r="D170" s="419">
        <f t="shared" ref="D170:R170" si="96">D166+D169</f>
        <v>0</v>
      </c>
      <c r="E170" s="419"/>
      <c r="F170" s="419">
        <f t="shared" si="96"/>
        <v>0</v>
      </c>
      <c r="G170" s="419"/>
      <c r="H170" s="419">
        <f t="shared" si="96"/>
        <v>0</v>
      </c>
      <c r="I170" s="419"/>
      <c r="J170" s="419">
        <f t="shared" si="96"/>
        <v>0</v>
      </c>
      <c r="K170" s="419"/>
      <c r="L170" s="419">
        <f t="shared" si="96"/>
        <v>0</v>
      </c>
      <c r="M170" s="419"/>
      <c r="N170" s="419">
        <f t="shared" si="96"/>
        <v>0</v>
      </c>
      <c r="O170" s="419"/>
      <c r="P170" s="419">
        <f t="shared" si="96"/>
        <v>0</v>
      </c>
      <c r="Q170" s="419"/>
      <c r="R170" s="419">
        <f t="shared" si="96"/>
        <v>0</v>
      </c>
      <c r="S170" s="419"/>
      <c r="T170" s="421">
        <f t="shared" si="94"/>
        <v>0</v>
      </c>
      <c r="U170" s="445" t="s">
        <v>318</v>
      </c>
    </row>
    <row r="171" spans="1:23" ht="12.75"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c r="A172" s="450" t="s">
        <v>336</v>
      </c>
      <c r="B172" s="435">
        <f>'1.2.2.B. Partneris-2'!C3</f>
        <v>0</v>
      </c>
      <c r="C172" s="436"/>
      <c r="D172" s="436"/>
      <c r="E172" s="436"/>
      <c r="F172" s="435">
        <f>'1.2.2.B. Partneris-2'!H3</f>
        <v>0</v>
      </c>
      <c r="G172" s="436"/>
      <c r="H172" s="437"/>
      <c r="I172" s="436"/>
      <c r="J172" s="437" t="s">
        <v>325</v>
      </c>
      <c r="K172" s="436"/>
      <c r="L172" s="439">
        <f>'11. DL 4.pielikums'!$E$43</f>
        <v>0</v>
      </c>
      <c r="M172" s="436"/>
      <c r="N172" s="440" t="s">
        <v>332</v>
      </c>
      <c r="O172" s="436"/>
      <c r="P172" s="437"/>
      <c r="Q172" s="436"/>
      <c r="R172" s="437"/>
      <c r="S172" s="436"/>
      <c r="T172" s="437"/>
      <c r="U172" s="437"/>
      <c r="W172" s="4">
        <f>IF(F172=Dati!$J$3,1,IF(F172=Dati!$J$4,2,IF(F172=Dati!$J$5,3,0)))</f>
        <v>0</v>
      </c>
    </row>
    <row r="173" spans="1:23" ht="12.75" customHeight="1">
      <c r="A173" s="406" t="s">
        <v>310</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c r="A174" s="441"/>
      <c r="B174" s="408" t="s">
        <v>311</v>
      </c>
      <c r="C174" s="408"/>
      <c r="D174" s="408" t="s">
        <v>311</v>
      </c>
      <c r="E174" s="408"/>
      <c r="F174" s="408" t="s">
        <v>311</v>
      </c>
      <c r="G174" s="408"/>
      <c r="H174" s="408" t="s">
        <v>311</v>
      </c>
      <c r="I174" s="408"/>
      <c r="J174" s="408" t="s">
        <v>311</v>
      </c>
      <c r="K174" s="408"/>
      <c r="L174" s="408" t="s">
        <v>311</v>
      </c>
      <c r="M174" s="408"/>
      <c r="N174" s="408" t="s">
        <v>311</v>
      </c>
      <c r="O174" s="408"/>
      <c r="P174" s="408" t="s">
        <v>311</v>
      </c>
      <c r="Q174" s="408"/>
      <c r="R174" s="408" t="s">
        <v>311</v>
      </c>
      <c r="S174" s="408"/>
      <c r="T174" s="408" t="s">
        <v>190</v>
      </c>
      <c r="U174" s="408" t="s">
        <v>134</v>
      </c>
    </row>
    <row r="175" spans="1:23" ht="12.75" customHeight="1">
      <c r="A175" s="442" t="str">
        <f>A$5</f>
        <v>Eiropas Reģionālās attīstības fonds</v>
      </c>
      <c r="B175" s="443">
        <f>B182*$L$172</f>
        <v>0</v>
      </c>
      <c r="C175" s="443"/>
      <c r="D175" s="443">
        <f t="shared" ref="D175:R175" si="97">D182*$L$172</f>
        <v>0</v>
      </c>
      <c r="E175" s="443"/>
      <c r="F175" s="443">
        <f t="shared" si="97"/>
        <v>0</v>
      </c>
      <c r="G175" s="443"/>
      <c r="H175" s="443">
        <f t="shared" si="97"/>
        <v>0</v>
      </c>
      <c r="I175" s="443"/>
      <c r="J175" s="443">
        <f t="shared" si="97"/>
        <v>0</v>
      </c>
      <c r="K175" s="443"/>
      <c r="L175" s="443">
        <f t="shared" si="97"/>
        <v>0</v>
      </c>
      <c r="M175" s="443"/>
      <c r="N175" s="443">
        <f t="shared" si="97"/>
        <v>0</v>
      </c>
      <c r="O175" s="443"/>
      <c r="P175" s="443">
        <f t="shared" si="97"/>
        <v>0</v>
      </c>
      <c r="Q175" s="443"/>
      <c r="R175" s="443">
        <f t="shared" si="97"/>
        <v>0</v>
      </c>
      <c r="S175" s="443"/>
      <c r="T175" s="410">
        <f t="shared" ref="T175:T181" si="98">SUM(B175:R175)</f>
        <v>0</v>
      </c>
      <c r="U175" s="411" t="e">
        <f>T175/$T$182</f>
        <v>#DIV/0!</v>
      </c>
    </row>
    <row r="176" spans="1:23" ht="12.75" customHeight="1">
      <c r="A176" s="412" t="str">
        <f>A$6</f>
        <v>Attiecināmais valsts budžeta finansējums</v>
      </c>
      <c r="B176" s="443">
        <f>IF($W172=2,B182-B175,0)</f>
        <v>0</v>
      </c>
      <c r="C176" s="443"/>
      <c r="D176" s="443">
        <f t="shared" ref="D176:R176" si="99">IF($W172=2,D182-D175,0)</f>
        <v>0</v>
      </c>
      <c r="E176" s="443"/>
      <c r="F176" s="443">
        <f t="shared" si="99"/>
        <v>0</v>
      </c>
      <c r="G176" s="443"/>
      <c r="H176" s="443">
        <f t="shared" si="99"/>
        <v>0</v>
      </c>
      <c r="I176" s="443"/>
      <c r="J176" s="443">
        <f t="shared" si="99"/>
        <v>0</v>
      </c>
      <c r="K176" s="443"/>
      <c r="L176" s="443">
        <f t="shared" si="99"/>
        <v>0</v>
      </c>
      <c r="M176" s="443"/>
      <c r="N176" s="443">
        <f t="shared" si="99"/>
        <v>0</v>
      </c>
      <c r="O176" s="443"/>
      <c r="P176" s="443">
        <f t="shared" si="99"/>
        <v>0</v>
      </c>
      <c r="Q176" s="443"/>
      <c r="R176" s="443">
        <f t="shared" si="99"/>
        <v>0</v>
      </c>
      <c r="S176" s="443"/>
      <c r="T176" s="410">
        <f t="shared" si="98"/>
        <v>0</v>
      </c>
      <c r="U176" s="411" t="e">
        <f t="shared" ref="U176:U182" si="100">T176/$T$182</f>
        <v>#DIV/0!</v>
      </c>
    </row>
    <row r="177" spans="1:23" ht="12.75" customHeight="1">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98"/>
        <v>0</v>
      </c>
      <c r="U177" s="411" t="e">
        <f t="shared" si="100"/>
        <v>#DIV/0!</v>
      </c>
    </row>
    <row r="178" spans="1:23" ht="12.75" customHeight="1">
      <c r="A178" s="412" t="str">
        <f>A$8</f>
        <v>Pašvaldības finansējums</v>
      </c>
      <c r="B178" s="444">
        <f>IF($W172=1,B182-B175-B177-B181,0)</f>
        <v>0</v>
      </c>
      <c r="C178" s="444"/>
      <c r="D178" s="444">
        <f t="shared" ref="D178:R178" si="101">IF($W172=1,D182-D175-D177-D181,0)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0">
        <f t="shared" si="98"/>
        <v>0</v>
      </c>
      <c r="U178" s="411" t="e">
        <f t="shared" si="100"/>
        <v>#DIV/0!</v>
      </c>
    </row>
    <row r="179" spans="1:23" s="3" customFormat="1" ht="12.75" customHeight="1">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98"/>
        <v>0</v>
      </c>
      <c r="U179" s="411" t="e">
        <f t="shared" si="100"/>
        <v>#DIV/0!</v>
      </c>
    </row>
    <row r="180" spans="1:23" ht="12.75" customHeight="1">
      <c r="A180" s="413" t="str">
        <f>A$10</f>
        <v>Publiskās attiecināmās izmaksas</v>
      </c>
      <c r="B180" s="311">
        <f>SUM(B175:B179)</f>
        <v>0</v>
      </c>
      <c r="C180" s="311"/>
      <c r="D180" s="311">
        <f t="shared" ref="D180:R180" si="102">SUM(D175:D179)</f>
        <v>0</v>
      </c>
      <c r="E180" s="311"/>
      <c r="F180" s="311">
        <f t="shared" si="102"/>
        <v>0</v>
      </c>
      <c r="G180" s="311"/>
      <c r="H180" s="311">
        <f t="shared" si="102"/>
        <v>0</v>
      </c>
      <c r="I180" s="311"/>
      <c r="J180" s="311">
        <f t="shared" si="102"/>
        <v>0</v>
      </c>
      <c r="K180" s="311"/>
      <c r="L180" s="311">
        <f t="shared" si="102"/>
        <v>0</v>
      </c>
      <c r="M180" s="311"/>
      <c r="N180" s="311">
        <f t="shared" si="102"/>
        <v>0</v>
      </c>
      <c r="O180" s="311"/>
      <c r="P180" s="311">
        <f t="shared" si="102"/>
        <v>0</v>
      </c>
      <c r="Q180" s="311"/>
      <c r="R180" s="311">
        <f t="shared" si="102"/>
        <v>0</v>
      </c>
      <c r="S180" s="311"/>
      <c r="T180" s="414">
        <f t="shared" si="98"/>
        <v>0</v>
      </c>
      <c r="U180" s="411" t="e">
        <f t="shared" si="100"/>
        <v>#DIV/0!</v>
      </c>
    </row>
    <row r="181" spans="1:23" ht="12.75" customHeight="1">
      <c r="A181" s="412" t="str">
        <f>A$11</f>
        <v>Privātās attiecināmās izmaksas</v>
      </c>
      <c r="B181" s="444">
        <f>IF($W$172=1,B182*'11. DL 4.pielikums'!$G$35-'9. DL PI Fin.plans'!B182*$L$172,B182-B175-B176-B177-B178-B179)</f>
        <v>0</v>
      </c>
      <c r="C181" s="444"/>
      <c r="D181" s="444">
        <f>IF($W$172=1,D182*'11. DL 4.pielikums'!$G$35-'9. DL PI Fin.plans'!D182*$L$172,D182-D175-D176-D177-D178-D179)</f>
        <v>0</v>
      </c>
      <c r="E181" s="444"/>
      <c r="F181" s="444">
        <f>IF($W$172=1,F182*'11. DL 4.pielikums'!$G$35-'9. DL PI Fin.plans'!F182*$L$172,F182-F175-F176-F177-F178-F179)</f>
        <v>0</v>
      </c>
      <c r="G181" s="444"/>
      <c r="H181" s="444">
        <f>IF($W$172=1,H182*'11. DL 4.pielikums'!$G$35-'9. DL PI Fin.plans'!H182*$L$172,H182-H175-H176-H177-H178-H179)</f>
        <v>0</v>
      </c>
      <c r="I181" s="444"/>
      <c r="J181" s="444">
        <f>IF($W$172=1,J182*'11. DL 4.pielikums'!$G$35-'9. DL PI Fin.plans'!J182*$L$172,J182-J175-J176-J177-J178-J179)</f>
        <v>0</v>
      </c>
      <c r="K181" s="444"/>
      <c r="L181" s="444">
        <f>IF($W$172=1,L182*'11. DL 4.pielikums'!$G$35-'9. DL PI Fin.plans'!L182*$L$172,L182-L175-L176-L177-L178-L179)</f>
        <v>0</v>
      </c>
      <c r="M181" s="444"/>
      <c r="N181" s="444">
        <f>IF($W$172=1,N182*'11. DL 4.pielikums'!$G$35-'9. DL PI Fin.plans'!N182*$L$172,N182-N175-N176-N177-N178-N179)</f>
        <v>0</v>
      </c>
      <c r="O181" s="444"/>
      <c r="P181" s="444">
        <f>IF($W$172=1,P182*'11. DL 4.pielikums'!$G$35-'9. DL PI Fin.plans'!P182*$L$172,P182-P175-P176-P177-P178-P179)</f>
        <v>0</v>
      </c>
      <c r="Q181" s="444"/>
      <c r="R181" s="444">
        <f>IF($W$172=1,R182*'11. DL 4.pielikums'!$G$35-'9. DL PI Fin.plans'!R182*$L$172,R182-R175-R176-R177-R178-R179)</f>
        <v>0</v>
      </c>
      <c r="S181" s="444"/>
      <c r="T181" s="410">
        <f t="shared" si="98"/>
        <v>0</v>
      </c>
      <c r="U181" s="411" t="e">
        <f t="shared" si="100"/>
        <v>#DIV/0!</v>
      </c>
    </row>
    <row r="182" spans="1:23" ht="12.75" customHeight="1">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00"/>
        <v>#DIV/0!</v>
      </c>
    </row>
    <row r="183" spans="1:23" ht="12.75" customHeight="1">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03">SUM(B183:R183)</f>
        <v>0</v>
      </c>
      <c r="U183" s="445" t="s">
        <v>318</v>
      </c>
    </row>
    <row r="184" spans="1:23" ht="12.75" customHeight="1">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03"/>
        <v>0</v>
      </c>
      <c r="U184" s="445" t="s">
        <v>318</v>
      </c>
    </row>
    <row r="185" spans="1:23" ht="12.75" customHeight="1">
      <c r="A185" s="413" t="str">
        <f>A$15</f>
        <v>Neattiecināmās izmaksas kopā</v>
      </c>
      <c r="B185" s="311">
        <f>SUM(B183:B184)</f>
        <v>0</v>
      </c>
      <c r="C185" s="311"/>
      <c r="D185" s="311">
        <f t="shared" ref="D185:R185" si="104">SUM(D183:D184)</f>
        <v>0</v>
      </c>
      <c r="E185" s="311"/>
      <c r="F185" s="311">
        <f t="shared" si="104"/>
        <v>0</v>
      </c>
      <c r="G185" s="311"/>
      <c r="H185" s="311">
        <f t="shared" si="104"/>
        <v>0</v>
      </c>
      <c r="I185" s="311"/>
      <c r="J185" s="311">
        <f t="shared" si="104"/>
        <v>0</v>
      </c>
      <c r="K185" s="311"/>
      <c r="L185" s="311">
        <f t="shared" si="104"/>
        <v>0</v>
      </c>
      <c r="M185" s="311"/>
      <c r="N185" s="311">
        <f t="shared" si="104"/>
        <v>0</v>
      </c>
      <c r="O185" s="311"/>
      <c r="P185" s="311">
        <f t="shared" si="104"/>
        <v>0</v>
      </c>
      <c r="Q185" s="311"/>
      <c r="R185" s="311">
        <f t="shared" si="104"/>
        <v>0</v>
      </c>
      <c r="S185" s="311"/>
      <c r="T185" s="414">
        <f t="shared" si="103"/>
        <v>0</v>
      </c>
      <c r="U185" s="445" t="s">
        <v>318</v>
      </c>
    </row>
    <row r="186" spans="1:23" ht="12.75" customHeight="1">
      <c r="A186" s="418" t="str">
        <f>A$16</f>
        <v>Kopējās izmaksas</v>
      </c>
      <c r="B186" s="419">
        <f>B182+B185</f>
        <v>0</v>
      </c>
      <c r="C186" s="419"/>
      <c r="D186" s="419">
        <f t="shared" ref="D186:R186" si="105">D182+D185</f>
        <v>0</v>
      </c>
      <c r="E186" s="419"/>
      <c r="F186" s="419">
        <f t="shared" si="105"/>
        <v>0</v>
      </c>
      <c r="G186" s="419"/>
      <c r="H186" s="419">
        <f t="shared" si="105"/>
        <v>0</v>
      </c>
      <c r="I186" s="419"/>
      <c r="J186" s="419">
        <f t="shared" si="105"/>
        <v>0</v>
      </c>
      <c r="K186" s="419"/>
      <c r="L186" s="419">
        <f t="shared" si="105"/>
        <v>0</v>
      </c>
      <c r="M186" s="419"/>
      <c r="N186" s="419">
        <f t="shared" si="105"/>
        <v>0</v>
      </c>
      <c r="O186" s="419"/>
      <c r="P186" s="419">
        <f t="shared" si="105"/>
        <v>0</v>
      </c>
      <c r="Q186" s="419"/>
      <c r="R186" s="419">
        <f t="shared" si="105"/>
        <v>0</v>
      </c>
      <c r="S186" s="419"/>
      <c r="T186" s="414">
        <f>SUM(B186:R186)</f>
        <v>0</v>
      </c>
      <c r="U186" s="445" t="s">
        <v>318</v>
      </c>
    </row>
    <row r="187" spans="1:23" ht="12.75" customHeight="1">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c r="A188" s="450" t="s">
        <v>336</v>
      </c>
      <c r="B188" s="435">
        <f>'1.2.2.B. Partneris-2'!C3</f>
        <v>0</v>
      </c>
      <c r="C188" s="436"/>
      <c r="D188" s="436"/>
      <c r="E188" s="436"/>
      <c r="F188" s="435">
        <f>'1.2.2.B. Partneris-2'!H3</f>
        <v>0</v>
      </c>
      <c r="G188" s="436"/>
      <c r="H188" s="437"/>
      <c r="I188" s="436"/>
      <c r="J188" s="437" t="s">
        <v>325</v>
      </c>
      <c r="K188" s="436"/>
      <c r="L188" s="439">
        <f>'1.2.2.B. Partneris-2'!C14</f>
        <v>1</v>
      </c>
      <c r="M188" s="436"/>
      <c r="N188" s="440" t="s">
        <v>333</v>
      </c>
      <c r="O188" s="436"/>
      <c r="P188" s="437"/>
      <c r="Q188" s="436"/>
      <c r="R188" s="437"/>
      <c r="S188" s="436"/>
      <c r="T188" s="437"/>
      <c r="U188" s="437"/>
      <c r="W188" s="4">
        <f>IF(F188=Dati!$J$3,1,IF(F188=Dati!$J$4,2,IF(F188=Dati!$J$5,3,0)))</f>
        <v>0</v>
      </c>
    </row>
    <row r="189" spans="1:23">
      <c r="A189" s="406" t="s">
        <v>310</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c r="A190" s="441"/>
      <c r="B190" s="408" t="s">
        <v>311</v>
      </c>
      <c r="C190" s="408"/>
      <c r="D190" s="408" t="s">
        <v>311</v>
      </c>
      <c r="E190" s="408"/>
      <c r="F190" s="408" t="s">
        <v>311</v>
      </c>
      <c r="G190" s="408"/>
      <c r="H190" s="408" t="s">
        <v>311</v>
      </c>
      <c r="I190" s="408"/>
      <c r="J190" s="408" t="s">
        <v>311</v>
      </c>
      <c r="K190" s="408"/>
      <c r="L190" s="408" t="s">
        <v>311</v>
      </c>
      <c r="M190" s="408"/>
      <c r="N190" s="408" t="s">
        <v>311</v>
      </c>
      <c r="O190" s="408"/>
      <c r="P190" s="408" t="s">
        <v>311</v>
      </c>
      <c r="Q190" s="408"/>
      <c r="R190" s="408" t="s">
        <v>311</v>
      </c>
      <c r="S190" s="408"/>
      <c r="T190" s="408" t="s">
        <v>190</v>
      </c>
      <c r="U190" s="408" t="s">
        <v>134</v>
      </c>
    </row>
    <row r="191" spans="1:23" ht="12.75" customHeight="1">
      <c r="A191" s="442" t="str">
        <f>A$5</f>
        <v>Eiropas Reģionālās attīstības fonds</v>
      </c>
      <c r="B191" s="443">
        <f>B198*$L$188</f>
        <v>0</v>
      </c>
      <c r="C191" s="443"/>
      <c r="D191" s="443">
        <f>D198*$L$188</f>
        <v>0</v>
      </c>
      <c r="E191" s="443"/>
      <c r="F191" s="443">
        <f t="shared" ref="F191:R191" si="106">F198*$L$188</f>
        <v>0</v>
      </c>
      <c r="G191" s="443"/>
      <c r="H191" s="443">
        <f t="shared" si="106"/>
        <v>0</v>
      </c>
      <c r="I191" s="443"/>
      <c r="J191" s="443">
        <f t="shared" si="106"/>
        <v>0</v>
      </c>
      <c r="K191" s="443"/>
      <c r="L191" s="443">
        <f t="shared" si="106"/>
        <v>0</v>
      </c>
      <c r="M191" s="443"/>
      <c r="N191" s="443">
        <f t="shared" si="106"/>
        <v>0</v>
      </c>
      <c r="O191" s="443"/>
      <c r="P191" s="443">
        <f t="shared" si="106"/>
        <v>0</v>
      </c>
      <c r="Q191" s="443"/>
      <c r="R191" s="443">
        <f t="shared" si="106"/>
        <v>0</v>
      </c>
      <c r="S191" s="443"/>
      <c r="T191" s="410">
        <f t="shared" ref="T191:T197" si="107">SUM(B191:R191)</f>
        <v>0</v>
      </c>
      <c r="U191" s="411" t="e">
        <f>T191/$T$198</f>
        <v>#DIV/0!</v>
      </c>
    </row>
    <row r="192" spans="1:23" ht="12.75" customHeight="1">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07"/>
        <v>0</v>
      </c>
      <c r="U192" s="411" t="e">
        <f t="shared" ref="U192:U198" si="108">T192/$T$198</f>
        <v>#DIV/0!</v>
      </c>
    </row>
    <row r="193" spans="1:24" ht="12.75" customHeight="1">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07"/>
        <v>0</v>
      </c>
      <c r="U193" s="411" t="e">
        <f t="shared" si="108"/>
        <v>#DIV/0!</v>
      </c>
    </row>
    <row r="194" spans="1:24" ht="12.75" customHeight="1">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07"/>
        <v>0</v>
      </c>
      <c r="U194" s="411" t="e">
        <f t="shared" si="108"/>
        <v>#DIV/0!</v>
      </c>
    </row>
    <row r="195" spans="1:24" s="3" customFormat="1" ht="12.75" customHeight="1">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07"/>
        <v>0</v>
      </c>
      <c r="U195" s="411" t="e">
        <f t="shared" si="108"/>
        <v>#DIV/0!</v>
      </c>
    </row>
    <row r="196" spans="1:24" ht="12.75" customHeight="1">
      <c r="A196" s="413" t="str">
        <f>A$10</f>
        <v>Publiskās attiecināmās izmaksas</v>
      </c>
      <c r="B196" s="311">
        <f>SUM(B191:B195)</f>
        <v>0</v>
      </c>
      <c r="C196" s="311"/>
      <c r="D196" s="311">
        <f t="shared" ref="D196:R196" si="109">SUM(D191:D195)</f>
        <v>0</v>
      </c>
      <c r="E196" s="311"/>
      <c r="F196" s="311">
        <f t="shared" si="109"/>
        <v>0</v>
      </c>
      <c r="G196" s="311"/>
      <c r="H196" s="311">
        <f t="shared" si="109"/>
        <v>0</v>
      </c>
      <c r="I196" s="311"/>
      <c r="J196" s="311">
        <f t="shared" si="109"/>
        <v>0</v>
      </c>
      <c r="K196" s="311"/>
      <c r="L196" s="311">
        <f t="shared" si="109"/>
        <v>0</v>
      </c>
      <c r="M196" s="311"/>
      <c r="N196" s="311">
        <f t="shared" si="109"/>
        <v>0</v>
      </c>
      <c r="O196" s="311"/>
      <c r="P196" s="311">
        <f t="shared" si="109"/>
        <v>0</v>
      </c>
      <c r="Q196" s="311"/>
      <c r="R196" s="311">
        <f t="shared" si="109"/>
        <v>0</v>
      </c>
      <c r="S196" s="311"/>
      <c r="T196" s="414">
        <f t="shared" si="107"/>
        <v>0</v>
      </c>
      <c r="U196" s="411" t="e">
        <f t="shared" si="108"/>
        <v>#DIV/0!</v>
      </c>
    </row>
    <row r="197" spans="1:24" ht="12.75" customHeight="1">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07"/>
        <v>0</v>
      </c>
      <c r="U197" s="411" t="e">
        <f t="shared" si="108"/>
        <v>#DIV/0!</v>
      </c>
    </row>
    <row r="198" spans="1:24" ht="12.75" customHeight="1">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08"/>
        <v>#DIV/0!</v>
      </c>
    </row>
    <row r="199" spans="1:24" ht="12.75" customHeight="1">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10">SUM(B199:R199)</f>
        <v>0</v>
      </c>
      <c r="U199" s="445" t="s">
        <v>318</v>
      </c>
    </row>
    <row r="200" spans="1:24" ht="12.75" customHeight="1">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10"/>
        <v>0</v>
      </c>
      <c r="U200" s="445" t="s">
        <v>318</v>
      </c>
    </row>
    <row r="201" spans="1:24" ht="12.75" customHeight="1">
      <c r="A201" s="413" t="str">
        <f>A$15</f>
        <v>Neattiecināmās izmaksas kopā</v>
      </c>
      <c r="B201" s="311">
        <f>SUM(B199:B200)</f>
        <v>0</v>
      </c>
      <c r="C201" s="311"/>
      <c r="D201" s="311">
        <f t="shared" ref="D201:R201" si="111">SUM(D199:D200)</f>
        <v>0</v>
      </c>
      <c r="E201" s="311"/>
      <c r="F201" s="311">
        <f t="shared" si="111"/>
        <v>0</v>
      </c>
      <c r="G201" s="311"/>
      <c r="H201" s="311">
        <f t="shared" si="111"/>
        <v>0</v>
      </c>
      <c r="I201" s="311"/>
      <c r="J201" s="311">
        <f t="shared" si="111"/>
        <v>0</v>
      </c>
      <c r="K201" s="311"/>
      <c r="L201" s="311">
        <f t="shared" si="111"/>
        <v>0</v>
      </c>
      <c r="M201" s="311"/>
      <c r="N201" s="311">
        <f t="shared" si="111"/>
        <v>0</v>
      </c>
      <c r="O201" s="311"/>
      <c r="P201" s="311">
        <f t="shared" si="111"/>
        <v>0</v>
      </c>
      <c r="Q201" s="311"/>
      <c r="R201" s="311">
        <f t="shared" si="111"/>
        <v>0</v>
      </c>
      <c r="S201" s="311"/>
      <c r="T201" s="414">
        <f t="shared" si="110"/>
        <v>0</v>
      </c>
      <c r="U201" s="445" t="s">
        <v>318</v>
      </c>
    </row>
    <row r="202" spans="1:24" ht="12.75" customHeight="1">
      <c r="A202" s="418" t="str">
        <f>A$16</f>
        <v>Kopējās izmaksas</v>
      </c>
      <c r="B202" s="419">
        <f>B198+B201</f>
        <v>0</v>
      </c>
      <c r="C202" s="419"/>
      <c r="D202" s="419">
        <f t="shared" ref="D202:R202" si="112">D198+D201</f>
        <v>0</v>
      </c>
      <c r="E202" s="419"/>
      <c r="F202" s="419">
        <f t="shared" si="112"/>
        <v>0</v>
      </c>
      <c r="G202" s="419"/>
      <c r="H202" s="419">
        <f t="shared" si="112"/>
        <v>0</v>
      </c>
      <c r="I202" s="419"/>
      <c r="J202" s="419">
        <f t="shared" si="112"/>
        <v>0</v>
      </c>
      <c r="K202" s="419"/>
      <c r="L202" s="419">
        <f t="shared" si="112"/>
        <v>0</v>
      </c>
      <c r="M202" s="419"/>
      <c r="N202" s="419">
        <f t="shared" si="112"/>
        <v>0</v>
      </c>
      <c r="O202" s="419"/>
      <c r="P202" s="419">
        <f t="shared" si="112"/>
        <v>0</v>
      </c>
      <c r="Q202" s="419"/>
      <c r="R202" s="419">
        <f t="shared" si="112"/>
        <v>0</v>
      </c>
      <c r="S202" s="419"/>
      <c r="T202" s="414">
        <f>SUM(B202:R202)</f>
        <v>0</v>
      </c>
      <c r="U202" s="445" t="s">
        <v>318</v>
      </c>
    </row>
    <row r="203" spans="1:24" ht="12.75" customHeight="1">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c r="A204" s="450" t="s">
        <v>336</v>
      </c>
      <c r="B204" s="435">
        <f>'1.2.2.C. Partneris-2'!C3</f>
        <v>0</v>
      </c>
      <c r="C204" s="436"/>
      <c r="D204" s="436"/>
      <c r="E204" s="436"/>
      <c r="F204" s="435">
        <f>'1.2.2.C. Partneris-2'!H3</f>
        <v>0</v>
      </c>
      <c r="G204" s="436"/>
      <c r="H204" s="437"/>
      <c r="I204" s="436"/>
      <c r="J204" s="437" t="s">
        <v>325</v>
      </c>
      <c r="K204" s="436"/>
      <c r="L204" s="439">
        <f>'1.2.2.C. Partneris-2'!C24</f>
        <v>0.85</v>
      </c>
      <c r="M204" s="436"/>
      <c r="N204" s="440" t="s">
        <v>334</v>
      </c>
      <c r="O204" s="436"/>
      <c r="P204" s="437"/>
      <c r="Q204" s="436"/>
      <c r="R204" s="437"/>
      <c r="S204" s="436"/>
      <c r="T204" s="437"/>
      <c r="U204" s="437"/>
      <c r="W204" s="4">
        <f>IF(F204=Dati!$J$3,1,IF(F204=Dati!$J$4,2,IF(F204=Dati!$J$5,3,0)))</f>
        <v>0</v>
      </c>
      <c r="X204" s="4">
        <f>'1.2.2.C. Partneris-2'!AA3</f>
        <v>0</v>
      </c>
    </row>
    <row r="205" spans="1:24">
      <c r="A205" s="406" t="s">
        <v>310</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c r="A206" s="441"/>
      <c r="B206" s="408" t="s">
        <v>311</v>
      </c>
      <c r="C206" s="408"/>
      <c r="D206" s="408" t="s">
        <v>311</v>
      </c>
      <c r="E206" s="408"/>
      <c r="F206" s="408" t="s">
        <v>311</v>
      </c>
      <c r="G206" s="408"/>
      <c r="H206" s="408" t="s">
        <v>311</v>
      </c>
      <c r="I206" s="408"/>
      <c r="J206" s="408" t="s">
        <v>311</v>
      </c>
      <c r="K206" s="408"/>
      <c r="L206" s="408" t="s">
        <v>311</v>
      </c>
      <c r="M206" s="408"/>
      <c r="N206" s="408" t="s">
        <v>311</v>
      </c>
      <c r="O206" s="408"/>
      <c r="P206" s="408" t="s">
        <v>311</v>
      </c>
      <c r="Q206" s="408"/>
      <c r="R206" s="408" t="s">
        <v>311</v>
      </c>
      <c r="S206" s="408"/>
      <c r="T206" s="408" t="s">
        <v>190</v>
      </c>
      <c r="U206" s="408" t="s">
        <v>134</v>
      </c>
    </row>
    <row r="207" spans="1:24" ht="12.75" customHeight="1">
      <c r="A207" s="442" t="str">
        <f>A$5</f>
        <v>Eiropas Reģionālās attīstības fonds</v>
      </c>
      <c r="B207" s="443">
        <f>(B214*$L$204)-B219</f>
        <v>0</v>
      </c>
      <c r="C207" s="443"/>
      <c r="D207" s="443">
        <f t="shared" ref="D207:R207" si="113">(D214*$L$204)-D219</f>
        <v>0</v>
      </c>
      <c r="E207" s="443"/>
      <c r="F207" s="443">
        <f t="shared" si="113"/>
        <v>0</v>
      </c>
      <c r="G207" s="443"/>
      <c r="H207" s="443">
        <f t="shared" si="113"/>
        <v>0</v>
      </c>
      <c r="I207" s="443"/>
      <c r="J207" s="443">
        <f t="shared" si="113"/>
        <v>0</v>
      </c>
      <c r="K207" s="443"/>
      <c r="L207" s="443">
        <f t="shared" si="113"/>
        <v>0</v>
      </c>
      <c r="M207" s="443"/>
      <c r="N207" s="443">
        <f t="shared" si="113"/>
        <v>0</v>
      </c>
      <c r="O207" s="443"/>
      <c r="P207" s="443">
        <f t="shared" si="113"/>
        <v>0</v>
      </c>
      <c r="Q207" s="443"/>
      <c r="R207" s="443">
        <f t="shared" si="113"/>
        <v>0</v>
      </c>
      <c r="S207" s="443"/>
      <c r="T207" s="410">
        <f>SUM(B207:R207)</f>
        <v>0</v>
      </c>
      <c r="U207" s="411" t="e">
        <f>T207/$T$214</f>
        <v>#DIV/0!</v>
      </c>
    </row>
    <row r="208" spans="1:24" ht="12.75" customHeight="1">
      <c r="A208" s="412" t="str">
        <f>A$6</f>
        <v>Attiecināmais valsts budžeta finansējums</v>
      </c>
      <c r="B208" s="443">
        <f>IF($W204=2,B214-B207,0)</f>
        <v>0</v>
      </c>
      <c r="C208" s="443"/>
      <c r="D208" s="443">
        <f t="shared" ref="D208:R208" si="114">IF($W204=2,D214-D207,0)</f>
        <v>0</v>
      </c>
      <c r="E208" s="443"/>
      <c r="F208" s="443">
        <f t="shared" si="114"/>
        <v>0</v>
      </c>
      <c r="G208" s="443"/>
      <c r="H208" s="443">
        <f t="shared" si="114"/>
        <v>0</v>
      </c>
      <c r="I208" s="443"/>
      <c r="J208" s="443">
        <f t="shared" si="114"/>
        <v>0</v>
      </c>
      <c r="K208" s="443"/>
      <c r="L208" s="443">
        <f t="shared" si="114"/>
        <v>0</v>
      </c>
      <c r="M208" s="443"/>
      <c r="N208" s="443">
        <f t="shared" si="114"/>
        <v>0</v>
      </c>
      <c r="O208" s="443"/>
      <c r="P208" s="443">
        <f t="shared" si="114"/>
        <v>0</v>
      </c>
      <c r="Q208" s="443"/>
      <c r="R208" s="443">
        <f t="shared" si="114"/>
        <v>0</v>
      </c>
      <c r="S208" s="443"/>
      <c r="T208" s="410">
        <f t="shared" ref="T208:T213" si="115">SUM(B208:R208)</f>
        <v>0</v>
      </c>
      <c r="U208" s="411" t="e">
        <f t="shared" ref="U208:U214" si="116">T208/$T$214</f>
        <v>#DIV/0!</v>
      </c>
    </row>
    <row r="209" spans="1:23" ht="12.75" customHeight="1">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15"/>
        <v>0</v>
      </c>
      <c r="U209" s="411" t="e">
        <f t="shared" si="116"/>
        <v>#DIV/0!</v>
      </c>
    </row>
    <row r="210" spans="1:23" ht="12.75" customHeight="1">
      <c r="A210" s="412" t="str">
        <f>A$8</f>
        <v>Pašvaldības finansējums</v>
      </c>
      <c r="B210" s="444">
        <f>IF($W204=1,B214-B207-B209-B213-B211,0)</f>
        <v>0</v>
      </c>
      <c r="C210" s="444"/>
      <c r="D210" s="444">
        <f t="shared" ref="D210:R210" si="117">IF($W204=1,D214-D207-D209-D213-D211,0)</f>
        <v>0</v>
      </c>
      <c r="E210" s="444"/>
      <c r="F210" s="444">
        <f t="shared" si="117"/>
        <v>0</v>
      </c>
      <c r="G210" s="444"/>
      <c r="H210" s="444">
        <f t="shared" si="117"/>
        <v>0</v>
      </c>
      <c r="I210" s="444"/>
      <c r="J210" s="444">
        <f t="shared" si="117"/>
        <v>0</v>
      </c>
      <c r="K210" s="444"/>
      <c r="L210" s="444">
        <f t="shared" si="117"/>
        <v>0</v>
      </c>
      <c r="M210" s="444"/>
      <c r="N210" s="444">
        <f t="shared" si="117"/>
        <v>0</v>
      </c>
      <c r="O210" s="444"/>
      <c r="P210" s="444">
        <f t="shared" si="117"/>
        <v>0</v>
      </c>
      <c r="Q210" s="444"/>
      <c r="R210" s="444">
        <f t="shared" si="117"/>
        <v>0</v>
      </c>
      <c r="S210" s="444"/>
      <c r="T210" s="410">
        <f t="shared" si="115"/>
        <v>0</v>
      </c>
      <c r="U210" s="411" t="e">
        <f t="shared" si="116"/>
        <v>#DIV/0!</v>
      </c>
    </row>
    <row r="211" spans="1:23" s="3" customFormat="1" ht="12.75" customHeight="1">
      <c r="A211" s="412" t="str">
        <f>A$9</f>
        <v>Cits publiskais finansējums</v>
      </c>
      <c r="B211" s="444">
        <f>IF($X$204=2,B214*(1-$L$204),0)</f>
        <v>0</v>
      </c>
      <c r="C211" s="444"/>
      <c r="D211" s="444">
        <f t="shared" ref="D211:R211" si="118">IF($X$204=2,D214*(1-$L$204),0)</f>
        <v>0</v>
      </c>
      <c r="E211" s="444"/>
      <c r="F211" s="444">
        <f t="shared" si="118"/>
        <v>0</v>
      </c>
      <c r="G211" s="444"/>
      <c r="H211" s="444">
        <f t="shared" si="118"/>
        <v>0</v>
      </c>
      <c r="I211" s="444"/>
      <c r="J211" s="444">
        <f t="shared" si="118"/>
        <v>0</v>
      </c>
      <c r="K211" s="444"/>
      <c r="L211" s="444">
        <f t="shared" si="118"/>
        <v>0</v>
      </c>
      <c r="M211" s="444"/>
      <c r="N211" s="444">
        <f t="shared" si="118"/>
        <v>0</v>
      </c>
      <c r="O211" s="444"/>
      <c r="P211" s="444">
        <f t="shared" si="118"/>
        <v>0</v>
      </c>
      <c r="Q211" s="444"/>
      <c r="R211" s="444">
        <f t="shared" si="118"/>
        <v>0</v>
      </c>
      <c r="S211" s="444"/>
      <c r="T211" s="410">
        <f t="shared" si="115"/>
        <v>0</v>
      </c>
      <c r="U211" s="411" t="e">
        <f t="shared" si="116"/>
        <v>#DIV/0!</v>
      </c>
    </row>
    <row r="212" spans="1:23" ht="12.75" customHeight="1">
      <c r="A212" s="413" t="str">
        <f>A$10</f>
        <v>Publiskās attiecināmās izmaksas</v>
      </c>
      <c r="B212" s="311">
        <f>SUM(B207:B211)</f>
        <v>0</v>
      </c>
      <c r="C212" s="311"/>
      <c r="D212" s="311">
        <f t="shared" ref="D212:R212" si="119">SUM(D207:D211)</f>
        <v>0</v>
      </c>
      <c r="E212" s="311"/>
      <c r="F212" s="311">
        <f t="shared" si="119"/>
        <v>0</v>
      </c>
      <c r="G212" s="311"/>
      <c r="H212" s="311">
        <f t="shared" si="119"/>
        <v>0</v>
      </c>
      <c r="I212" s="311"/>
      <c r="J212" s="311">
        <f t="shared" si="119"/>
        <v>0</v>
      </c>
      <c r="K212" s="311"/>
      <c r="L212" s="311">
        <f t="shared" si="119"/>
        <v>0</v>
      </c>
      <c r="M212" s="311"/>
      <c r="N212" s="311">
        <f t="shared" si="119"/>
        <v>0</v>
      </c>
      <c r="O212" s="311"/>
      <c r="P212" s="311">
        <f t="shared" si="119"/>
        <v>0</v>
      </c>
      <c r="Q212" s="311"/>
      <c r="R212" s="311">
        <f t="shared" si="119"/>
        <v>0</v>
      </c>
      <c r="S212" s="311"/>
      <c r="T212" s="414">
        <f t="shared" si="115"/>
        <v>0</v>
      </c>
      <c r="U212" s="411" t="e">
        <f t="shared" si="116"/>
        <v>#DIV/0!</v>
      </c>
    </row>
    <row r="213" spans="1:23" ht="12.75" customHeight="1">
      <c r="A213" s="412" t="str">
        <f>A$11</f>
        <v>Privātās attiecināmās izmaksas</v>
      </c>
      <c r="B213" s="444" t="b">
        <f>IF($W$204=1,0,IF($W$204=3,IF($X$204=1,B214-B212,0)))</f>
        <v>0</v>
      </c>
      <c r="C213" s="444"/>
      <c r="D213" s="444" t="b">
        <f t="shared" ref="D213:R213" si="120">IF($W$204=1,0,IF($W$204=3,IF($X$204=1,D214-D212,0)))</f>
        <v>0</v>
      </c>
      <c r="E213" s="444"/>
      <c r="F213" s="444" t="b">
        <f t="shared" si="120"/>
        <v>0</v>
      </c>
      <c r="G213" s="444"/>
      <c r="H213" s="444" t="b">
        <f t="shared" si="120"/>
        <v>0</v>
      </c>
      <c r="I213" s="444"/>
      <c r="J213" s="444" t="b">
        <f t="shared" si="120"/>
        <v>0</v>
      </c>
      <c r="K213" s="444"/>
      <c r="L213" s="444" t="b">
        <f t="shared" si="120"/>
        <v>0</v>
      </c>
      <c r="M213" s="444"/>
      <c r="N213" s="444" t="b">
        <f t="shared" si="120"/>
        <v>0</v>
      </c>
      <c r="O213" s="444"/>
      <c r="P213" s="444" t="b">
        <f t="shared" si="120"/>
        <v>0</v>
      </c>
      <c r="Q213" s="444"/>
      <c r="R213" s="444" t="b">
        <f t="shared" si="120"/>
        <v>0</v>
      </c>
      <c r="S213" s="444"/>
      <c r="T213" s="410">
        <f t="shared" si="115"/>
        <v>0</v>
      </c>
      <c r="U213" s="411" t="e">
        <f t="shared" si="116"/>
        <v>#DIV/0!</v>
      </c>
    </row>
    <row r="214" spans="1:23" ht="12.75" customHeight="1">
      <c r="A214" s="413" t="str">
        <f>A$12</f>
        <v>Kopējās attiecināmās izmaksas</v>
      </c>
      <c r="B214" s="311">
        <f>IF(B23=2,'1.2.2.C. Partneris-2'!H24,'1.2.2.C. Partneris-2'!H24*B23)</f>
        <v>0</v>
      </c>
      <c r="C214" s="311"/>
      <c r="D214" s="311">
        <f>IF(D23=2,'1.2.2.C. Partneris-2'!J24,'1.2.2.C. Partneris-2'!J24*D23)</f>
        <v>0</v>
      </c>
      <c r="E214" s="311"/>
      <c r="F214" s="311">
        <f>IF(F23=2,'1.2.2.C. Partneris-2'!L24,'1.2.2.C. Partneris-2'!L24*F23)</f>
        <v>0</v>
      </c>
      <c r="G214" s="311"/>
      <c r="H214" s="311">
        <f>IF(H23=2,'1.2.2.C. Partneris-2'!N24,'1.2.2.C.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16"/>
        <v>#DIV/0!</v>
      </c>
    </row>
    <row r="215" spans="1:23" ht="12.75" customHeight="1">
      <c r="A215" s="412" t="str">
        <f>A$13</f>
        <v>Publiskās neattiecināmās izmaksas</v>
      </c>
      <c r="B215" s="444" t="b">
        <f>IF($W204=1,B220,IF($W204=3,IF($X204=1,0,B220)))</f>
        <v>0</v>
      </c>
      <c r="C215" s="444"/>
      <c r="D215" s="444" t="b">
        <f t="shared" ref="D215:R215" si="121">IF($W204=1,D220,IF($W204=3,IF($X204=1,0,D220)))</f>
        <v>0</v>
      </c>
      <c r="E215" s="444"/>
      <c r="F215" s="444" t="b">
        <f t="shared" si="121"/>
        <v>0</v>
      </c>
      <c r="G215" s="444"/>
      <c r="H215" s="444" t="b">
        <f t="shared" si="121"/>
        <v>0</v>
      </c>
      <c r="I215" s="444"/>
      <c r="J215" s="444" t="b">
        <f t="shared" si="121"/>
        <v>0</v>
      </c>
      <c r="K215" s="444"/>
      <c r="L215" s="444" t="b">
        <f t="shared" si="121"/>
        <v>0</v>
      </c>
      <c r="M215" s="444" t="b">
        <f t="shared" si="121"/>
        <v>0</v>
      </c>
      <c r="N215" s="444" t="b">
        <f t="shared" si="121"/>
        <v>0</v>
      </c>
      <c r="O215" s="444"/>
      <c r="P215" s="444" t="b">
        <f t="shared" si="121"/>
        <v>0</v>
      </c>
      <c r="Q215" s="444"/>
      <c r="R215" s="444" t="b">
        <f t="shared" si="121"/>
        <v>0</v>
      </c>
      <c r="S215" s="444"/>
      <c r="T215" s="410">
        <f t="shared" ref="T215:T217" si="122">SUM(B215:R215)</f>
        <v>0</v>
      </c>
      <c r="U215" s="445" t="s">
        <v>318</v>
      </c>
    </row>
    <row r="216" spans="1:23" ht="12.75" customHeight="1">
      <c r="A216" s="412" t="str">
        <f>A$14</f>
        <v>Privātās neattiecināmās izmaksas</v>
      </c>
      <c r="B216" s="444">
        <f>IF($X204=2,0,IF($X204=1,B220,IF($W204=1,0,IF($W204=3,B220,0))))</f>
        <v>0</v>
      </c>
      <c r="C216" s="444"/>
      <c r="D216" s="444">
        <f t="shared" ref="D216:R216" si="123">IF($X204=2,0,IF($X204=1,D220,IF($W204=1,0,IF($W204=3,D220,0))))</f>
        <v>0</v>
      </c>
      <c r="E216" s="444"/>
      <c r="F216" s="444">
        <f t="shared" si="123"/>
        <v>0</v>
      </c>
      <c r="G216" s="444"/>
      <c r="H216" s="444">
        <f t="shared" si="123"/>
        <v>0</v>
      </c>
      <c r="I216" s="444"/>
      <c r="J216" s="444">
        <f t="shared" si="123"/>
        <v>0</v>
      </c>
      <c r="K216" s="444"/>
      <c r="L216" s="444">
        <f t="shared" si="123"/>
        <v>0</v>
      </c>
      <c r="M216" s="444">
        <f t="shared" si="123"/>
        <v>0</v>
      </c>
      <c r="N216" s="444">
        <f t="shared" si="123"/>
        <v>0</v>
      </c>
      <c r="O216" s="444"/>
      <c r="P216" s="444">
        <f t="shared" si="123"/>
        <v>0</v>
      </c>
      <c r="Q216" s="444"/>
      <c r="R216" s="444">
        <f t="shared" si="123"/>
        <v>0</v>
      </c>
      <c r="S216" s="444"/>
      <c r="T216" s="410">
        <f t="shared" si="122"/>
        <v>0</v>
      </c>
      <c r="U216" s="445" t="s">
        <v>318</v>
      </c>
    </row>
    <row r="217" spans="1:23" ht="12.75" customHeight="1">
      <c r="A217" s="413" t="str">
        <f>A$15</f>
        <v>Neattiecināmās izmaksas kopā</v>
      </c>
      <c r="B217" s="311">
        <f>SUM(B215:B216)</f>
        <v>0</v>
      </c>
      <c r="C217" s="311"/>
      <c r="D217" s="311">
        <f t="shared" ref="D217:R217" si="124">SUM(D215:D216)</f>
        <v>0</v>
      </c>
      <c r="E217" s="311"/>
      <c r="F217" s="311">
        <f t="shared" si="124"/>
        <v>0</v>
      </c>
      <c r="G217" s="311"/>
      <c r="H217" s="311">
        <f t="shared" si="124"/>
        <v>0</v>
      </c>
      <c r="I217" s="311"/>
      <c r="J217" s="311">
        <f t="shared" si="124"/>
        <v>0</v>
      </c>
      <c r="K217" s="311"/>
      <c r="L217" s="311">
        <f t="shared" si="124"/>
        <v>0</v>
      </c>
      <c r="M217" s="311"/>
      <c r="N217" s="311">
        <f t="shared" si="124"/>
        <v>0</v>
      </c>
      <c r="O217" s="311"/>
      <c r="P217" s="311">
        <f t="shared" si="124"/>
        <v>0</v>
      </c>
      <c r="Q217" s="311"/>
      <c r="R217" s="311">
        <f t="shared" si="124"/>
        <v>0</v>
      </c>
      <c r="S217" s="311"/>
      <c r="T217" s="414">
        <f t="shared" si="122"/>
        <v>0</v>
      </c>
      <c r="U217" s="445" t="s">
        <v>318</v>
      </c>
    </row>
    <row r="218" spans="1:23" ht="12.75" customHeight="1">
      <c r="A218" s="418" t="str">
        <f>A$16</f>
        <v>Kopējās izmaksas</v>
      </c>
      <c r="B218" s="419">
        <f>B214+B217</f>
        <v>0</v>
      </c>
      <c r="C218" s="419"/>
      <c r="D218" s="419">
        <f t="shared" ref="D218:R218" si="125">D214+D217</f>
        <v>0</v>
      </c>
      <c r="E218" s="419"/>
      <c r="F218" s="419">
        <f t="shared" si="125"/>
        <v>0</v>
      </c>
      <c r="G218" s="419"/>
      <c r="H218" s="419">
        <f t="shared" si="125"/>
        <v>0</v>
      </c>
      <c r="I218" s="419"/>
      <c r="J218" s="419">
        <f t="shared" si="125"/>
        <v>0</v>
      </c>
      <c r="K218" s="419"/>
      <c r="L218" s="419">
        <f t="shared" si="125"/>
        <v>0</v>
      </c>
      <c r="M218" s="419"/>
      <c r="N218" s="419">
        <f t="shared" si="125"/>
        <v>0</v>
      </c>
      <c r="O218" s="419"/>
      <c r="P218" s="419">
        <f t="shared" si="125"/>
        <v>0</v>
      </c>
      <c r="Q218" s="419"/>
      <c r="R218" s="419">
        <f t="shared" si="125"/>
        <v>0</v>
      </c>
      <c r="S218" s="419"/>
      <c r="T218" s="414">
        <f>SUM(B218:R218)</f>
        <v>0</v>
      </c>
      <c r="U218" s="445" t="s">
        <v>318</v>
      </c>
    </row>
    <row r="219" spans="1:23">
      <c r="A219" s="448" t="s">
        <v>335</v>
      </c>
      <c r="B219" s="449">
        <f>B214*$L$204*$W$20</f>
        <v>0</v>
      </c>
      <c r="C219" s="449"/>
      <c r="D219" s="449">
        <f t="shared" ref="D219:R219" si="126">D214*$L$204*$W$20</f>
        <v>0</v>
      </c>
      <c r="E219" s="449"/>
      <c r="F219" s="449">
        <f t="shared" si="126"/>
        <v>0</v>
      </c>
      <c r="G219" s="449"/>
      <c r="H219" s="449">
        <f t="shared" si="126"/>
        <v>0</v>
      </c>
      <c r="I219" s="449"/>
      <c r="J219" s="449">
        <f t="shared" si="126"/>
        <v>0</v>
      </c>
      <c r="K219" s="449"/>
      <c r="L219" s="449">
        <f t="shared" si="126"/>
        <v>0</v>
      </c>
      <c r="M219" s="449"/>
      <c r="N219" s="449">
        <f t="shared" si="126"/>
        <v>0</v>
      </c>
      <c r="O219" s="449"/>
      <c r="P219" s="449">
        <f t="shared" si="126"/>
        <v>0</v>
      </c>
      <c r="Q219" s="449"/>
      <c r="R219" s="449">
        <f t="shared" si="126"/>
        <v>0</v>
      </c>
      <c r="T219" s="449">
        <f>IF(X204=1,0,SUM(B219:R219))</f>
        <v>0</v>
      </c>
    </row>
    <row r="220" spans="1:23">
      <c r="A220" s="448" t="s">
        <v>320</v>
      </c>
      <c r="B220" s="449">
        <f>IF(B23=2,'1.2.2.C. Partneris-2'!I24,'1.2.2.C. Partneris-2'!I24*B23)</f>
        <v>0</v>
      </c>
      <c r="C220" s="449"/>
      <c r="D220" s="449">
        <f>IF(D23=2,'1.2.2.C. Partneris-2'!K24,'1.2.2.C. Partneris-2'!K24*D23)</f>
        <v>0</v>
      </c>
      <c r="E220" s="449"/>
      <c r="F220" s="449">
        <f>IF(F23=2,'1.2.2.C. Partneris-2'!M24,'1.2.2.C. Partneris-2'!M24*F23)</f>
        <v>0</v>
      </c>
      <c r="G220" s="449"/>
      <c r="H220" s="449">
        <f>IF(H23=2,'1.2.2.C. Partneris-2'!O24,'1.2.2.C.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2" spans="1:23" ht="18.75" customHeight="1">
      <c r="A222" s="451" t="s">
        <v>337</v>
      </c>
      <c r="B222" s="435">
        <f>'1.3.1. Partneris-kom.-1'!C3</f>
        <v>0</v>
      </c>
      <c r="C222" s="436"/>
      <c r="D222" s="436"/>
      <c r="E222" s="436"/>
      <c r="F222" s="435">
        <f>'1.3.1. Partneris-kom.-1'!H3</f>
        <v>0</v>
      </c>
      <c r="G222" s="436"/>
      <c r="H222" s="437"/>
      <c r="I222" s="436"/>
      <c r="J222" s="437" t="s">
        <v>325</v>
      </c>
      <c r="K222" s="436"/>
      <c r="L222" s="439">
        <f>'1.3.1. Partneris-kom.-1'!C7</f>
        <v>0.45</v>
      </c>
      <c r="M222" s="436"/>
      <c r="N222" s="440" t="s">
        <v>338</v>
      </c>
      <c r="O222" s="436"/>
      <c r="P222" s="437"/>
      <c r="Q222" s="436"/>
      <c r="R222" s="437"/>
      <c r="S222" s="436"/>
      <c r="T222" s="437"/>
      <c r="U222" s="437"/>
      <c r="W222" s="4">
        <f>IF(F222=Dati!$J$3,1,IF(F222=Dati!$J$4,2,IF(F222=Dati!$J$5,3,0)))</f>
        <v>0</v>
      </c>
    </row>
    <row r="223" spans="1:23">
      <c r="A223" s="406" t="s">
        <v>310</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c r="A224" s="441"/>
      <c r="B224" s="408" t="s">
        <v>311</v>
      </c>
      <c r="C224" s="408"/>
      <c r="D224" s="408" t="s">
        <v>311</v>
      </c>
      <c r="E224" s="408"/>
      <c r="F224" s="408" t="s">
        <v>311</v>
      </c>
      <c r="G224" s="408"/>
      <c r="H224" s="408" t="s">
        <v>311</v>
      </c>
      <c r="I224" s="408"/>
      <c r="J224" s="408" t="s">
        <v>311</v>
      </c>
      <c r="K224" s="408"/>
      <c r="L224" s="408" t="s">
        <v>311</v>
      </c>
      <c r="M224" s="408"/>
      <c r="N224" s="408" t="s">
        <v>311</v>
      </c>
      <c r="O224" s="408"/>
      <c r="P224" s="408" t="s">
        <v>311</v>
      </c>
      <c r="Q224" s="408"/>
      <c r="R224" s="408" t="s">
        <v>311</v>
      </c>
      <c r="S224" s="408"/>
      <c r="T224" s="408" t="s">
        <v>190</v>
      </c>
      <c r="U224" s="408" t="s">
        <v>134</v>
      </c>
    </row>
    <row r="225" spans="1:23" ht="12.75" customHeight="1">
      <c r="A225" s="442" t="str">
        <f>A$5</f>
        <v>Eiropas Reģionālās attīstības fonds</v>
      </c>
      <c r="B225" s="443">
        <f>B232*$L$222</f>
        <v>0</v>
      </c>
      <c r="C225" s="443"/>
      <c r="D225" s="443">
        <f t="shared" ref="D225:R225" si="127">D232*$L$222</f>
        <v>0</v>
      </c>
      <c r="E225" s="443"/>
      <c r="F225" s="443">
        <f t="shared" si="127"/>
        <v>0</v>
      </c>
      <c r="G225" s="443"/>
      <c r="H225" s="443">
        <f t="shared" si="127"/>
        <v>0</v>
      </c>
      <c r="I225" s="443"/>
      <c r="J225" s="443">
        <f t="shared" si="127"/>
        <v>0</v>
      </c>
      <c r="K225" s="443"/>
      <c r="L225" s="443">
        <f t="shared" si="127"/>
        <v>0</v>
      </c>
      <c r="M225" s="443"/>
      <c r="N225" s="443">
        <f t="shared" si="127"/>
        <v>0</v>
      </c>
      <c r="O225" s="443"/>
      <c r="P225" s="443">
        <f t="shared" si="127"/>
        <v>0</v>
      </c>
      <c r="Q225" s="443"/>
      <c r="R225" s="443">
        <f t="shared" si="127"/>
        <v>0</v>
      </c>
      <c r="S225" s="443"/>
      <c r="T225" s="410">
        <f>SUM(B225:R225)</f>
        <v>0</v>
      </c>
      <c r="U225" s="411" t="e">
        <f>T225/$T$232</f>
        <v>#DIV/0!</v>
      </c>
    </row>
    <row r="226" spans="1:23" ht="12.75" customHeight="1">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28">SUM(B226:R226)</f>
        <v>0</v>
      </c>
      <c r="U226" s="411" t="e">
        <f t="shared" ref="U226:U232" si="129">T226/$T$232</f>
        <v>#DIV/0!</v>
      </c>
    </row>
    <row r="227" spans="1:23" ht="12.75" customHeight="1">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28"/>
        <v>0</v>
      </c>
      <c r="U227" s="411" t="e">
        <f t="shared" si="129"/>
        <v>#DIV/0!</v>
      </c>
    </row>
    <row r="228" spans="1:23" ht="12.75" customHeight="1">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28"/>
        <v>0</v>
      </c>
      <c r="U228" s="411" t="e">
        <f t="shared" si="129"/>
        <v>#DIV/0!</v>
      </c>
    </row>
    <row r="229" spans="1:23" s="3" customFormat="1" ht="12.75" customHeight="1">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28"/>
        <v>0</v>
      </c>
      <c r="U229" s="411" t="e">
        <f t="shared" si="129"/>
        <v>#DIV/0!</v>
      </c>
    </row>
    <row r="230" spans="1:23" ht="12.75" customHeight="1">
      <c r="A230" s="413" t="str">
        <f>A$10</f>
        <v>Publiskās attiecināmās izmaksas</v>
      </c>
      <c r="B230" s="311">
        <f>SUM(B225:B229)</f>
        <v>0</v>
      </c>
      <c r="C230" s="311"/>
      <c r="D230" s="311">
        <f t="shared" ref="D230:R230" si="130">SUM(D225:D229)</f>
        <v>0</v>
      </c>
      <c r="E230" s="311"/>
      <c r="F230" s="311">
        <f t="shared" si="130"/>
        <v>0</v>
      </c>
      <c r="G230" s="311"/>
      <c r="H230" s="311">
        <f t="shared" si="130"/>
        <v>0</v>
      </c>
      <c r="I230" s="311"/>
      <c r="J230" s="311">
        <f t="shared" si="130"/>
        <v>0</v>
      </c>
      <c r="K230" s="311"/>
      <c r="L230" s="311">
        <f t="shared" si="130"/>
        <v>0</v>
      </c>
      <c r="M230" s="311"/>
      <c r="N230" s="311">
        <f t="shared" si="130"/>
        <v>0</v>
      </c>
      <c r="O230" s="311"/>
      <c r="P230" s="311">
        <f t="shared" si="130"/>
        <v>0</v>
      </c>
      <c r="Q230" s="311"/>
      <c r="R230" s="311">
        <f t="shared" si="130"/>
        <v>0</v>
      </c>
      <c r="S230" s="311"/>
      <c r="T230" s="414">
        <f t="shared" si="128"/>
        <v>0</v>
      </c>
      <c r="U230" s="411" t="e">
        <f t="shared" si="129"/>
        <v>#DIV/0!</v>
      </c>
    </row>
    <row r="231" spans="1:23" ht="12.75" customHeight="1">
      <c r="A231" s="412" t="str">
        <f>A$11</f>
        <v>Privātās attiecināmās izmaksas</v>
      </c>
      <c r="B231" s="444">
        <f>B232-B225</f>
        <v>0</v>
      </c>
      <c r="C231" s="444"/>
      <c r="D231" s="444">
        <f t="shared" ref="D231:R231" si="131">D232-D225</f>
        <v>0</v>
      </c>
      <c r="E231" s="444"/>
      <c r="F231" s="444">
        <f t="shared" si="131"/>
        <v>0</v>
      </c>
      <c r="G231" s="444"/>
      <c r="H231" s="444">
        <f t="shared" si="131"/>
        <v>0</v>
      </c>
      <c r="I231" s="444"/>
      <c r="J231" s="444">
        <f t="shared" si="131"/>
        <v>0</v>
      </c>
      <c r="K231" s="444"/>
      <c r="L231" s="444">
        <f t="shared" si="131"/>
        <v>0</v>
      </c>
      <c r="M231" s="444"/>
      <c r="N231" s="444">
        <f t="shared" si="131"/>
        <v>0</v>
      </c>
      <c r="O231" s="444"/>
      <c r="P231" s="444">
        <f t="shared" si="131"/>
        <v>0</v>
      </c>
      <c r="Q231" s="444"/>
      <c r="R231" s="444">
        <f t="shared" si="131"/>
        <v>0</v>
      </c>
      <c r="S231" s="444"/>
      <c r="T231" s="410">
        <f t="shared" si="128"/>
        <v>0</v>
      </c>
      <c r="U231" s="411" t="e">
        <f t="shared" si="129"/>
        <v>#DIV/0!</v>
      </c>
    </row>
    <row r="232" spans="1:23" ht="12.75" customHeight="1">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29"/>
        <v>#DIV/0!</v>
      </c>
    </row>
    <row r="233" spans="1:23" ht="12.75" customHeight="1">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32">SUM(B233:R233)</f>
        <v>0</v>
      </c>
      <c r="U233" s="445" t="s">
        <v>318</v>
      </c>
    </row>
    <row r="234" spans="1:23" ht="12.75" customHeight="1">
      <c r="A234" s="412" t="str">
        <f>A$14</f>
        <v>Privātās neattiecināmās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32"/>
        <v>0</v>
      </c>
      <c r="U234" s="445" t="s">
        <v>318</v>
      </c>
    </row>
    <row r="235" spans="1:23" ht="12.75" customHeight="1">
      <c r="A235" s="413" t="str">
        <f>A$15</f>
        <v>Neattiecināmās izmaksas kopā</v>
      </c>
      <c r="B235" s="311">
        <f>SUM(B233:B234)</f>
        <v>0</v>
      </c>
      <c r="C235" s="311"/>
      <c r="D235" s="311">
        <f t="shared" ref="D235:R235" si="133">SUM(D233:D234)</f>
        <v>0</v>
      </c>
      <c r="E235" s="311"/>
      <c r="F235" s="311">
        <f t="shared" si="133"/>
        <v>0</v>
      </c>
      <c r="G235" s="311"/>
      <c r="H235" s="311">
        <f t="shared" si="133"/>
        <v>0</v>
      </c>
      <c r="I235" s="311"/>
      <c r="J235" s="311">
        <f t="shared" si="133"/>
        <v>0</v>
      </c>
      <c r="K235" s="311"/>
      <c r="L235" s="311">
        <f t="shared" si="133"/>
        <v>0</v>
      </c>
      <c r="M235" s="311"/>
      <c r="N235" s="311">
        <f t="shared" si="133"/>
        <v>0</v>
      </c>
      <c r="O235" s="311"/>
      <c r="P235" s="311">
        <f t="shared" si="133"/>
        <v>0</v>
      </c>
      <c r="Q235" s="311"/>
      <c r="R235" s="311">
        <f t="shared" si="133"/>
        <v>0</v>
      </c>
      <c r="S235" s="311"/>
      <c r="T235" s="414">
        <f t="shared" si="132"/>
        <v>0</v>
      </c>
      <c r="U235" s="445" t="s">
        <v>318</v>
      </c>
    </row>
    <row r="236" spans="1:23" ht="12.75" customHeight="1">
      <c r="A236" s="418" t="str">
        <f>A$16</f>
        <v>Kopējās izmaksas</v>
      </c>
      <c r="B236" s="419">
        <f>B232+B235</f>
        <v>0</v>
      </c>
      <c r="C236" s="419"/>
      <c r="D236" s="419">
        <f t="shared" ref="D236:R236" si="134">D232+D235</f>
        <v>0</v>
      </c>
      <c r="E236" s="419"/>
      <c r="F236" s="419">
        <f t="shared" si="134"/>
        <v>0</v>
      </c>
      <c r="G236" s="419"/>
      <c r="H236" s="419">
        <f t="shared" si="134"/>
        <v>0</v>
      </c>
      <c r="I236" s="419"/>
      <c r="J236" s="419">
        <f t="shared" si="134"/>
        <v>0</v>
      </c>
      <c r="K236" s="419"/>
      <c r="L236" s="419">
        <f t="shared" si="134"/>
        <v>0</v>
      </c>
      <c r="M236" s="419"/>
      <c r="N236" s="419">
        <f t="shared" si="134"/>
        <v>0</v>
      </c>
      <c r="O236" s="419"/>
      <c r="P236" s="419">
        <f t="shared" si="134"/>
        <v>0</v>
      </c>
      <c r="Q236" s="419"/>
      <c r="R236" s="419">
        <f t="shared" si="134"/>
        <v>0</v>
      </c>
      <c r="S236" s="419"/>
      <c r="T236" s="414">
        <f>SUM(B236:R236)</f>
        <v>0</v>
      </c>
      <c r="U236" s="445" t="s">
        <v>318</v>
      </c>
    </row>
    <row r="238" spans="1:23" ht="18.75" customHeight="1">
      <c r="A238" s="451" t="s">
        <v>337</v>
      </c>
      <c r="B238" s="435">
        <f>'1.3.1. Partneris-kom.-1'!C3</f>
        <v>0</v>
      </c>
      <c r="C238" s="436"/>
      <c r="D238" s="436"/>
      <c r="E238" s="436"/>
      <c r="F238" s="435">
        <f>'1.3.1. Partneris-kom.-1'!H3</f>
        <v>0</v>
      </c>
      <c r="G238" s="436"/>
      <c r="H238" s="437"/>
      <c r="I238" s="436"/>
      <c r="J238" s="437" t="s">
        <v>325</v>
      </c>
      <c r="K238" s="436"/>
      <c r="L238" s="439">
        <f>'1.3.1. Partneris-kom.-1'!C14</f>
        <v>1</v>
      </c>
      <c r="M238" s="436"/>
      <c r="N238" s="440" t="s">
        <v>339</v>
      </c>
      <c r="O238" s="436"/>
      <c r="P238" s="437"/>
      <c r="Q238" s="436"/>
      <c r="R238" s="437"/>
      <c r="S238" s="436"/>
      <c r="T238" s="437"/>
      <c r="U238" s="437"/>
      <c r="W238" s="4">
        <f>IF(F238=Dati!$J$3,1,IF(F238=Dati!$J$4,2,IF(F238=Dati!$J$5,3,0)))</f>
        <v>0</v>
      </c>
    </row>
    <row r="239" spans="1:23">
      <c r="A239" s="406" t="s">
        <v>310</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c r="A240" s="441"/>
      <c r="B240" s="408" t="s">
        <v>311</v>
      </c>
      <c r="C240" s="408"/>
      <c r="D240" s="408" t="s">
        <v>311</v>
      </c>
      <c r="E240" s="408"/>
      <c r="F240" s="408" t="s">
        <v>311</v>
      </c>
      <c r="G240" s="408"/>
      <c r="H240" s="408" t="s">
        <v>311</v>
      </c>
      <c r="I240" s="408"/>
      <c r="J240" s="408" t="s">
        <v>311</v>
      </c>
      <c r="K240" s="408"/>
      <c r="L240" s="408" t="s">
        <v>311</v>
      </c>
      <c r="M240" s="408"/>
      <c r="N240" s="408" t="s">
        <v>311</v>
      </c>
      <c r="O240" s="408"/>
      <c r="P240" s="408" t="s">
        <v>311</v>
      </c>
      <c r="Q240" s="408"/>
      <c r="R240" s="408" t="s">
        <v>311</v>
      </c>
      <c r="S240" s="408"/>
      <c r="T240" s="408" t="s">
        <v>190</v>
      </c>
      <c r="U240" s="408" t="s">
        <v>134</v>
      </c>
    </row>
    <row r="241" spans="1:23" ht="12.75" customHeight="1">
      <c r="A241" s="442" t="str">
        <f>A$5</f>
        <v>Eiropas Reģionālās attīstības fonds</v>
      </c>
      <c r="B241" s="443">
        <f>B248*$L$238</f>
        <v>0</v>
      </c>
      <c r="C241" s="443"/>
      <c r="D241" s="443">
        <f t="shared" ref="D241:R241" si="135">D248*$L$238</f>
        <v>0</v>
      </c>
      <c r="E241" s="443"/>
      <c r="F241" s="443">
        <f t="shared" si="135"/>
        <v>0</v>
      </c>
      <c r="G241" s="443"/>
      <c r="H241" s="443">
        <f t="shared" si="135"/>
        <v>0</v>
      </c>
      <c r="I241" s="443"/>
      <c r="J241" s="443">
        <f t="shared" si="135"/>
        <v>0</v>
      </c>
      <c r="K241" s="443"/>
      <c r="L241" s="443">
        <f t="shared" si="135"/>
        <v>0</v>
      </c>
      <c r="M241" s="443"/>
      <c r="N241" s="443">
        <f t="shared" si="135"/>
        <v>0</v>
      </c>
      <c r="O241" s="443"/>
      <c r="P241" s="443">
        <f t="shared" si="135"/>
        <v>0</v>
      </c>
      <c r="Q241" s="443"/>
      <c r="R241" s="443">
        <f t="shared" si="135"/>
        <v>0</v>
      </c>
      <c r="S241" s="443"/>
      <c r="T241" s="410">
        <f>SUM(B241:R241)</f>
        <v>0</v>
      </c>
      <c r="U241" s="411" t="e">
        <f>T241/$T$248</f>
        <v>#DIV/0!</v>
      </c>
    </row>
    <row r="242" spans="1:23" ht="12.75" customHeight="1">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36">SUM(B242:R242)</f>
        <v>0</v>
      </c>
      <c r="U242" s="411" t="e">
        <f t="shared" ref="U242:U248" si="137">T242/$T$248</f>
        <v>#DIV/0!</v>
      </c>
    </row>
    <row r="243" spans="1:23" ht="12.75" customHeight="1">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36"/>
        <v>0</v>
      </c>
      <c r="U243" s="411" t="e">
        <f t="shared" si="137"/>
        <v>#DIV/0!</v>
      </c>
    </row>
    <row r="244" spans="1:23" ht="12.75" customHeight="1">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36"/>
        <v>0</v>
      </c>
      <c r="U244" s="411" t="e">
        <f t="shared" si="137"/>
        <v>#DIV/0!</v>
      </c>
    </row>
    <row r="245" spans="1:23" s="3" customFormat="1" ht="12.75" customHeight="1">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36"/>
        <v>0</v>
      </c>
      <c r="U245" s="411" t="e">
        <f t="shared" si="137"/>
        <v>#DIV/0!</v>
      </c>
    </row>
    <row r="246" spans="1:23" ht="12.75" customHeight="1">
      <c r="A246" s="413" t="str">
        <f>A$10</f>
        <v>Publiskās attiecināmās izmaksas</v>
      </c>
      <c r="B246" s="311">
        <f>SUM(B241:B245)</f>
        <v>0</v>
      </c>
      <c r="C246" s="311"/>
      <c r="D246" s="311">
        <f t="shared" ref="D246:R246" si="138">SUM(D241:D245)</f>
        <v>0</v>
      </c>
      <c r="E246" s="311"/>
      <c r="F246" s="311">
        <f t="shared" si="138"/>
        <v>0</v>
      </c>
      <c r="G246" s="311"/>
      <c r="H246" s="311">
        <f t="shared" si="138"/>
        <v>0</v>
      </c>
      <c r="I246" s="311"/>
      <c r="J246" s="311">
        <f t="shared" si="138"/>
        <v>0</v>
      </c>
      <c r="K246" s="311"/>
      <c r="L246" s="311">
        <f t="shared" si="138"/>
        <v>0</v>
      </c>
      <c r="M246" s="311"/>
      <c r="N246" s="311">
        <f t="shared" si="138"/>
        <v>0</v>
      </c>
      <c r="O246" s="311"/>
      <c r="P246" s="311">
        <f t="shared" si="138"/>
        <v>0</v>
      </c>
      <c r="Q246" s="311"/>
      <c r="R246" s="311">
        <f t="shared" si="138"/>
        <v>0</v>
      </c>
      <c r="S246" s="311"/>
      <c r="T246" s="414">
        <f t="shared" si="136"/>
        <v>0</v>
      </c>
      <c r="U246" s="411" t="e">
        <f t="shared" si="137"/>
        <v>#DIV/0!</v>
      </c>
    </row>
    <row r="247" spans="1:23" ht="12.75" customHeight="1">
      <c r="A247" s="412" t="str">
        <f>A$11</f>
        <v>Privātās attiecināmās izmaksas</v>
      </c>
      <c r="B247" s="444">
        <f>B248*$L$238-B241</f>
        <v>0</v>
      </c>
      <c r="C247" s="444"/>
      <c r="D247" s="444">
        <f t="shared" ref="D247:R247" si="139">D248*$L$238-D241</f>
        <v>0</v>
      </c>
      <c r="E247" s="444"/>
      <c r="F247" s="444">
        <f t="shared" si="139"/>
        <v>0</v>
      </c>
      <c r="G247" s="444"/>
      <c r="H247" s="444">
        <f t="shared" si="139"/>
        <v>0</v>
      </c>
      <c r="I247" s="444"/>
      <c r="J247" s="444">
        <f t="shared" si="139"/>
        <v>0</v>
      </c>
      <c r="K247" s="444"/>
      <c r="L247" s="444">
        <f t="shared" si="139"/>
        <v>0</v>
      </c>
      <c r="M247" s="444"/>
      <c r="N247" s="444">
        <f t="shared" si="139"/>
        <v>0</v>
      </c>
      <c r="O247" s="444"/>
      <c r="P247" s="444">
        <f t="shared" si="139"/>
        <v>0</v>
      </c>
      <c r="Q247" s="444"/>
      <c r="R247" s="444">
        <f t="shared" si="139"/>
        <v>0</v>
      </c>
      <c r="S247" s="444"/>
      <c r="T247" s="410">
        <f t="shared" si="136"/>
        <v>0</v>
      </c>
      <c r="U247" s="411" t="e">
        <f t="shared" si="137"/>
        <v>#DIV/0!</v>
      </c>
    </row>
    <row r="248" spans="1:23" ht="12.75" customHeight="1">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37"/>
        <v>#DIV/0!</v>
      </c>
    </row>
    <row r="249" spans="1:23" ht="12.75" customHeight="1">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40">SUM(B249:R249)</f>
        <v>0</v>
      </c>
      <c r="U249" s="445" t="s">
        <v>318</v>
      </c>
    </row>
    <row r="250" spans="1:23" ht="12.75" customHeight="1">
      <c r="A250" s="412" t="str">
        <f>A$14</f>
        <v>Privātās neattiecināmās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40"/>
        <v>0</v>
      </c>
      <c r="U250" s="445" t="s">
        <v>318</v>
      </c>
    </row>
    <row r="251" spans="1:23" ht="12.75" customHeight="1">
      <c r="A251" s="413" t="str">
        <f>A$15</f>
        <v>Neattiecināmās izmaksas kopā</v>
      </c>
      <c r="B251" s="311">
        <f>SUM(B249:B250)</f>
        <v>0</v>
      </c>
      <c r="C251" s="311"/>
      <c r="D251" s="311">
        <f t="shared" ref="D251:R251" si="141">SUM(D249:D250)</f>
        <v>0</v>
      </c>
      <c r="E251" s="311"/>
      <c r="F251" s="311">
        <f t="shared" si="141"/>
        <v>0</v>
      </c>
      <c r="G251" s="311"/>
      <c r="H251" s="311">
        <f t="shared" si="141"/>
        <v>0</v>
      </c>
      <c r="I251" s="311"/>
      <c r="J251" s="311">
        <f t="shared" si="141"/>
        <v>0</v>
      </c>
      <c r="K251" s="311"/>
      <c r="L251" s="311">
        <f t="shared" si="141"/>
        <v>0</v>
      </c>
      <c r="M251" s="311"/>
      <c r="N251" s="311">
        <f t="shared" si="141"/>
        <v>0</v>
      </c>
      <c r="O251" s="311"/>
      <c r="P251" s="311">
        <f t="shared" si="141"/>
        <v>0</v>
      </c>
      <c r="Q251" s="311"/>
      <c r="R251" s="311">
        <f t="shared" si="141"/>
        <v>0</v>
      </c>
      <c r="S251" s="311"/>
      <c r="T251" s="414">
        <f t="shared" si="140"/>
        <v>0</v>
      </c>
      <c r="U251" s="445" t="s">
        <v>318</v>
      </c>
    </row>
    <row r="252" spans="1:23" ht="12.75" customHeight="1">
      <c r="A252" s="418" t="str">
        <f>A$16</f>
        <v>Kopējās izmaksas</v>
      </c>
      <c r="B252" s="419">
        <f>B248+B251</f>
        <v>0</v>
      </c>
      <c r="C252" s="419"/>
      <c r="D252" s="419">
        <f t="shared" ref="D252:R252" si="142">D248+D251</f>
        <v>0</v>
      </c>
      <c r="E252" s="419"/>
      <c r="F252" s="419">
        <f t="shared" si="142"/>
        <v>0</v>
      </c>
      <c r="G252" s="419"/>
      <c r="H252" s="419">
        <f t="shared" si="142"/>
        <v>0</v>
      </c>
      <c r="I252" s="419"/>
      <c r="J252" s="419">
        <f t="shared" si="142"/>
        <v>0</v>
      </c>
      <c r="K252" s="419"/>
      <c r="L252" s="419">
        <f t="shared" si="142"/>
        <v>0</v>
      </c>
      <c r="M252" s="419"/>
      <c r="N252" s="419">
        <f t="shared" si="142"/>
        <v>0</v>
      </c>
      <c r="O252" s="419"/>
      <c r="P252" s="419">
        <f t="shared" si="142"/>
        <v>0</v>
      </c>
      <c r="Q252" s="419"/>
      <c r="R252" s="419">
        <f t="shared" si="142"/>
        <v>0</v>
      </c>
      <c r="S252" s="419"/>
      <c r="T252" s="414">
        <f>SUM(B252:R252)</f>
        <v>0</v>
      </c>
      <c r="U252" s="445" t="s">
        <v>318</v>
      </c>
    </row>
    <row r="254" spans="1:23" ht="18.75" customHeight="1">
      <c r="A254" s="452" t="s">
        <v>340</v>
      </c>
      <c r="B254" s="435">
        <f>'1.3.2. Partneris-kom.-2'!C3</f>
        <v>0</v>
      </c>
      <c r="C254" s="436"/>
      <c r="D254" s="436"/>
      <c r="E254" s="436"/>
      <c r="F254" s="435">
        <f>'1.3.2. Partneris-kom.-2'!H3</f>
        <v>0</v>
      </c>
      <c r="G254" s="436"/>
      <c r="H254" s="437"/>
      <c r="I254" s="436"/>
      <c r="J254" s="437" t="s">
        <v>325</v>
      </c>
      <c r="K254" s="436"/>
      <c r="L254" s="439">
        <f>'1.3.2. Partneris-kom.-2'!C7</f>
        <v>0.45</v>
      </c>
      <c r="M254" s="436"/>
      <c r="N254" s="440" t="s">
        <v>338</v>
      </c>
      <c r="O254" s="436"/>
      <c r="P254" s="437"/>
      <c r="Q254" s="436"/>
      <c r="R254" s="437"/>
      <c r="S254" s="436"/>
      <c r="T254" s="437"/>
      <c r="U254" s="437"/>
      <c r="W254" s="4">
        <f>IF(F254=Dati!$J$3,1,IF(F254=Dati!$J$4,2,IF(F254=Dati!$J$5,3,0)))</f>
        <v>0</v>
      </c>
    </row>
    <row r="255" spans="1:23">
      <c r="A255" s="406" t="s">
        <v>310</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c r="A256" s="441"/>
      <c r="B256" s="408" t="s">
        <v>311</v>
      </c>
      <c r="C256" s="408"/>
      <c r="D256" s="408" t="s">
        <v>311</v>
      </c>
      <c r="E256" s="408"/>
      <c r="F256" s="408" t="s">
        <v>311</v>
      </c>
      <c r="G256" s="408"/>
      <c r="H256" s="408" t="s">
        <v>311</v>
      </c>
      <c r="I256" s="408"/>
      <c r="J256" s="408" t="s">
        <v>311</v>
      </c>
      <c r="K256" s="408"/>
      <c r="L256" s="408" t="s">
        <v>311</v>
      </c>
      <c r="M256" s="408"/>
      <c r="N256" s="408" t="s">
        <v>311</v>
      </c>
      <c r="O256" s="408"/>
      <c r="P256" s="408" t="s">
        <v>311</v>
      </c>
      <c r="Q256" s="408"/>
      <c r="R256" s="408" t="s">
        <v>311</v>
      </c>
      <c r="S256" s="408"/>
      <c r="T256" s="408" t="s">
        <v>190</v>
      </c>
      <c r="U256" s="408" t="s">
        <v>134</v>
      </c>
    </row>
    <row r="257" spans="1:23" ht="12.75" customHeight="1">
      <c r="A257" s="442" t="str">
        <f>A$5</f>
        <v>Eiropas Reģionālās attīstības fonds</v>
      </c>
      <c r="B257" s="443">
        <f>B264*$L$254</f>
        <v>0</v>
      </c>
      <c r="C257" s="443"/>
      <c r="D257" s="443">
        <f t="shared" ref="D257:R257" si="143">D264*$L$254</f>
        <v>0</v>
      </c>
      <c r="E257" s="443"/>
      <c r="F257" s="443">
        <f t="shared" si="143"/>
        <v>0</v>
      </c>
      <c r="G257" s="443"/>
      <c r="H257" s="443">
        <f t="shared" si="143"/>
        <v>0</v>
      </c>
      <c r="I257" s="443"/>
      <c r="J257" s="443">
        <f t="shared" si="143"/>
        <v>0</v>
      </c>
      <c r="K257" s="443"/>
      <c r="L257" s="443">
        <f t="shared" si="143"/>
        <v>0</v>
      </c>
      <c r="M257" s="443"/>
      <c r="N257" s="443">
        <f t="shared" si="143"/>
        <v>0</v>
      </c>
      <c r="O257" s="443"/>
      <c r="P257" s="443">
        <f t="shared" si="143"/>
        <v>0</v>
      </c>
      <c r="Q257" s="443"/>
      <c r="R257" s="443">
        <f t="shared" si="143"/>
        <v>0</v>
      </c>
      <c r="S257" s="443"/>
      <c r="T257" s="410">
        <f>SUM(B257:R257)</f>
        <v>0</v>
      </c>
      <c r="U257" s="411" t="e">
        <f>T257/$T$264</f>
        <v>#DIV/0!</v>
      </c>
    </row>
    <row r="258" spans="1:23" ht="12.75" customHeight="1">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44">SUM(B258:R258)</f>
        <v>0</v>
      </c>
      <c r="U258" s="411" t="e">
        <f t="shared" ref="U258:U264" si="145">T258/$T$264</f>
        <v>#DIV/0!</v>
      </c>
    </row>
    <row r="259" spans="1:23" ht="12.75" customHeight="1">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44"/>
        <v>0</v>
      </c>
      <c r="U259" s="411" t="e">
        <f t="shared" si="145"/>
        <v>#DIV/0!</v>
      </c>
    </row>
    <row r="260" spans="1:23" ht="12.75" customHeight="1">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44"/>
        <v>0</v>
      </c>
      <c r="U260" s="411" t="e">
        <f t="shared" si="145"/>
        <v>#DIV/0!</v>
      </c>
    </row>
    <row r="261" spans="1:23" s="3" customFormat="1" ht="12.75" customHeight="1">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44"/>
        <v>0</v>
      </c>
      <c r="U261" s="411" t="e">
        <f t="shared" si="145"/>
        <v>#DIV/0!</v>
      </c>
    </row>
    <row r="262" spans="1:23" ht="12.75" customHeight="1">
      <c r="A262" s="413" t="str">
        <f>A$10</f>
        <v>Publiskās attiecināmās izmaksas</v>
      </c>
      <c r="B262" s="311">
        <f>SUM(B257:B261)</f>
        <v>0</v>
      </c>
      <c r="C262" s="311"/>
      <c r="D262" s="311">
        <f t="shared" ref="D262:R262" si="146">SUM(D257:D261)</f>
        <v>0</v>
      </c>
      <c r="E262" s="311"/>
      <c r="F262" s="311">
        <f t="shared" si="146"/>
        <v>0</v>
      </c>
      <c r="G262" s="311"/>
      <c r="H262" s="311">
        <f t="shared" si="146"/>
        <v>0</v>
      </c>
      <c r="I262" s="311"/>
      <c r="J262" s="311">
        <f t="shared" si="146"/>
        <v>0</v>
      </c>
      <c r="K262" s="311"/>
      <c r="L262" s="311">
        <f t="shared" si="146"/>
        <v>0</v>
      </c>
      <c r="M262" s="311"/>
      <c r="N262" s="311">
        <f t="shared" si="146"/>
        <v>0</v>
      </c>
      <c r="O262" s="311"/>
      <c r="P262" s="311">
        <f t="shared" si="146"/>
        <v>0</v>
      </c>
      <c r="Q262" s="311"/>
      <c r="R262" s="311">
        <f t="shared" si="146"/>
        <v>0</v>
      </c>
      <c r="S262" s="311"/>
      <c r="T262" s="414">
        <f t="shared" si="144"/>
        <v>0</v>
      </c>
      <c r="U262" s="411" t="e">
        <f t="shared" si="145"/>
        <v>#DIV/0!</v>
      </c>
    </row>
    <row r="263" spans="1:23" ht="12.75" customHeight="1">
      <c r="A263" s="412" t="str">
        <f>A$11</f>
        <v>Privātās attiecināmās izmaksas</v>
      </c>
      <c r="B263" s="444">
        <f>B264-B257</f>
        <v>0</v>
      </c>
      <c r="C263" s="444"/>
      <c r="D263" s="444">
        <f t="shared" ref="D263:R263" si="147">D264-D257</f>
        <v>0</v>
      </c>
      <c r="E263" s="444"/>
      <c r="F263" s="444">
        <f t="shared" si="147"/>
        <v>0</v>
      </c>
      <c r="G263" s="444"/>
      <c r="H263" s="444">
        <f t="shared" si="147"/>
        <v>0</v>
      </c>
      <c r="I263" s="444"/>
      <c r="J263" s="444">
        <f t="shared" si="147"/>
        <v>0</v>
      </c>
      <c r="K263" s="444"/>
      <c r="L263" s="444">
        <f t="shared" si="147"/>
        <v>0</v>
      </c>
      <c r="M263" s="444"/>
      <c r="N263" s="444">
        <f t="shared" si="147"/>
        <v>0</v>
      </c>
      <c r="O263" s="444"/>
      <c r="P263" s="444">
        <f t="shared" si="147"/>
        <v>0</v>
      </c>
      <c r="Q263" s="444"/>
      <c r="R263" s="444">
        <f t="shared" si="147"/>
        <v>0</v>
      </c>
      <c r="S263" s="444"/>
      <c r="T263" s="410">
        <f t="shared" si="144"/>
        <v>0</v>
      </c>
      <c r="U263" s="411" t="e">
        <f t="shared" si="145"/>
        <v>#DIV/0!</v>
      </c>
    </row>
    <row r="264" spans="1:23" ht="12.75" customHeight="1">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45"/>
        <v>#DIV/0!</v>
      </c>
    </row>
    <row r="265" spans="1:23" ht="12.75" customHeight="1">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48">SUM(B265:R265)</f>
        <v>0</v>
      </c>
      <c r="U265" s="445" t="s">
        <v>318</v>
      </c>
    </row>
    <row r="266" spans="1:23" ht="12.75" customHeight="1">
      <c r="A266" s="412" t="str">
        <f>A$14</f>
        <v>Privātās neattiecināmās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48"/>
        <v>0</v>
      </c>
      <c r="U266" s="445" t="s">
        <v>318</v>
      </c>
    </row>
    <row r="267" spans="1:23" ht="12.75" customHeight="1">
      <c r="A267" s="413" t="str">
        <f>A$15</f>
        <v>Neattiecināmās izmaksas kopā</v>
      </c>
      <c r="B267" s="311">
        <f>SUM(B265:B266)</f>
        <v>0</v>
      </c>
      <c r="C267" s="311"/>
      <c r="D267" s="311">
        <f t="shared" ref="D267:R267" si="149">SUM(D265:D266)</f>
        <v>0</v>
      </c>
      <c r="E267" s="311"/>
      <c r="F267" s="311">
        <f t="shared" si="149"/>
        <v>0</v>
      </c>
      <c r="G267" s="311"/>
      <c r="H267" s="311">
        <f t="shared" si="149"/>
        <v>0</v>
      </c>
      <c r="I267" s="311"/>
      <c r="J267" s="311">
        <f t="shared" si="149"/>
        <v>0</v>
      </c>
      <c r="K267" s="311"/>
      <c r="L267" s="311">
        <f t="shared" si="149"/>
        <v>0</v>
      </c>
      <c r="M267" s="311"/>
      <c r="N267" s="311">
        <f t="shared" si="149"/>
        <v>0</v>
      </c>
      <c r="O267" s="311"/>
      <c r="P267" s="311">
        <f t="shared" si="149"/>
        <v>0</v>
      </c>
      <c r="Q267" s="311"/>
      <c r="R267" s="311">
        <f t="shared" si="149"/>
        <v>0</v>
      </c>
      <c r="S267" s="311"/>
      <c r="T267" s="414">
        <f t="shared" si="148"/>
        <v>0</v>
      </c>
      <c r="U267" s="445" t="s">
        <v>318</v>
      </c>
    </row>
    <row r="268" spans="1:23" ht="12.75" customHeight="1">
      <c r="A268" s="418" t="str">
        <f>A$16</f>
        <v>Kopējās izmaksas</v>
      </c>
      <c r="B268" s="419">
        <f>B264+B267</f>
        <v>0</v>
      </c>
      <c r="C268" s="419"/>
      <c r="D268" s="419">
        <f t="shared" ref="D268:R268" si="150">D264+D267</f>
        <v>0</v>
      </c>
      <c r="E268" s="419"/>
      <c r="F268" s="419">
        <f t="shared" si="150"/>
        <v>0</v>
      </c>
      <c r="G268" s="419"/>
      <c r="H268" s="419">
        <f t="shared" si="150"/>
        <v>0</v>
      </c>
      <c r="I268" s="419"/>
      <c r="J268" s="419">
        <f t="shared" si="150"/>
        <v>0</v>
      </c>
      <c r="K268" s="419"/>
      <c r="L268" s="419">
        <f t="shared" si="150"/>
        <v>0</v>
      </c>
      <c r="M268" s="419"/>
      <c r="N268" s="419">
        <f t="shared" si="150"/>
        <v>0</v>
      </c>
      <c r="O268" s="419"/>
      <c r="P268" s="419">
        <f t="shared" si="150"/>
        <v>0</v>
      </c>
      <c r="Q268" s="419"/>
      <c r="R268" s="419">
        <f t="shared" si="150"/>
        <v>0</v>
      </c>
      <c r="S268" s="419"/>
      <c r="T268" s="414">
        <f>SUM(B268:R268)</f>
        <v>0</v>
      </c>
      <c r="U268" s="445" t="s">
        <v>318</v>
      </c>
    </row>
    <row r="270" spans="1:23" ht="18.75" customHeight="1">
      <c r="A270" s="452" t="s">
        <v>340</v>
      </c>
      <c r="B270" s="435">
        <f>'1.3.2. Partneris-kom.-2'!C3</f>
        <v>0</v>
      </c>
      <c r="C270" s="436"/>
      <c r="D270" s="436"/>
      <c r="E270" s="436"/>
      <c r="F270" s="435">
        <f>'1.3.2. Partneris-kom.-2'!H3</f>
        <v>0</v>
      </c>
      <c r="G270" s="436"/>
      <c r="H270" s="437"/>
      <c r="I270" s="436"/>
      <c r="J270" s="437" t="s">
        <v>325</v>
      </c>
      <c r="K270" s="436"/>
      <c r="L270" s="439">
        <f>'1.3.2. Partneris-kom.-2'!C14</f>
        <v>1</v>
      </c>
      <c r="M270" s="436"/>
      <c r="N270" s="440" t="s">
        <v>338</v>
      </c>
      <c r="O270" s="436"/>
      <c r="P270" s="437"/>
      <c r="Q270" s="436"/>
      <c r="R270" s="437"/>
      <c r="S270" s="436"/>
      <c r="T270" s="437"/>
      <c r="U270" s="437"/>
      <c r="W270" s="4">
        <f>IF(F270=Dati!$J$3,1,IF(F270=Dati!$J$4,2,IF(F270=Dati!$J$5,3,0)))</f>
        <v>0</v>
      </c>
    </row>
    <row r="271" spans="1:23">
      <c r="A271" s="406" t="s">
        <v>310</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c r="A272" s="441"/>
      <c r="B272" s="408" t="s">
        <v>311</v>
      </c>
      <c r="C272" s="408"/>
      <c r="D272" s="408" t="s">
        <v>311</v>
      </c>
      <c r="E272" s="408"/>
      <c r="F272" s="408" t="s">
        <v>311</v>
      </c>
      <c r="G272" s="408"/>
      <c r="H272" s="408" t="s">
        <v>311</v>
      </c>
      <c r="I272" s="408"/>
      <c r="J272" s="408" t="s">
        <v>311</v>
      </c>
      <c r="K272" s="408"/>
      <c r="L272" s="408" t="s">
        <v>311</v>
      </c>
      <c r="M272" s="408"/>
      <c r="N272" s="408" t="s">
        <v>311</v>
      </c>
      <c r="O272" s="408"/>
      <c r="P272" s="408" t="s">
        <v>311</v>
      </c>
      <c r="Q272" s="408"/>
      <c r="R272" s="408" t="s">
        <v>311</v>
      </c>
      <c r="S272" s="408"/>
      <c r="T272" s="408" t="s">
        <v>190</v>
      </c>
      <c r="U272" s="408" t="s">
        <v>134</v>
      </c>
    </row>
    <row r="273" spans="1:21" ht="12.75" customHeight="1">
      <c r="A273" s="442" t="str">
        <f>A$5</f>
        <v>Eiropas Reģionālās attīstības fonds</v>
      </c>
      <c r="B273" s="443">
        <f>B280*$L$270</f>
        <v>0</v>
      </c>
      <c r="C273" s="443"/>
      <c r="D273" s="443">
        <f t="shared" ref="D273:R273" si="151">D280*$L$270</f>
        <v>0</v>
      </c>
      <c r="E273" s="443"/>
      <c r="F273" s="443">
        <f t="shared" si="151"/>
        <v>0</v>
      </c>
      <c r="G273" s="443"/>
      <c r="H273" s="443">
        <f t="shared" si="151"/>
        <v>0</v>
      </c>
      <c r="I273" s="443"/>
      <c r="J273" s="443">
        <f t="shared" si="151"/>
        <v>0</v>
      </c>
      <c r="K273" s="443"/>
      <c r="L273" s="443">
        <f>L280*$L$270</f>
        <v>0</v>
      </c>
      <c r="M273" s="443"/>
      <c r="N273" s="443">
        <f t="shared" si="151"/>
        <v>0</v>
      </c>
      <c r="O273" s="443"/>
      <c r="P273" s="443">
        <f t="shared" si="151"/>
        <v>0</v>
      </c>
      <c r="Q273" s="443"/>
      <c r="R273" s="443">
        <f t="shared" si="151"/>
        <v>0</v>
      </c>
      <c r="S273" s="443"/>
      <c r="T273" s="410">
        <f>SUM(B273:R273)</f>
        <v>0</v>
      </c>
      <c r="U273" s="411" t="e">
        <f>T273/$T$280</f>
        <v>#DIV/0!</v>
      </c>
    </row>
    <row r="274" spans="1:21" ht="12.75" customHeight="1">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52">SUM(B274:R274)</f>
        <v>0</v>
      </c>
      <c r="U274" s="411" t="e">
        <f t="shared" ref="U274:U280" si="153">T274/$T$280</f>
        <v>#DIV/0!</v>
      </c>
    </row>
    <row r="275" spans="1:21" ht="12.75" customHeight="1">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52"/>
        <v>0</v>
      </c>
      <c r="U275" s="411" t="e">
        <f t="shared" si="153"/>
        <v>#DIV/0!</v>
      </c>
    </row>
    <row r="276" spans="1:21" ht="12.75" customHeight="1">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52"/>
        <v>0</v>
      </c>
      <c r="U276" s="411" t="e">
        <f t="shared" si="153"/>
        <v>#DIV/0!</v>
      </c>
    </row>
    <row r="277" spans="1:21" s="3" customFormat="1" ht="12.75" customHeight="1">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52"/>
        <v>0</v>
      </c>
      <c r="U277" s="411" t="e">
        <f t="shared" si="153"/>
        <v>#DIV/0!</v>
      </c>
    </row>
    <row r="278" spans="1:21" ht="12.75" customHeight="1">
      <c r="A278" s="413" t="str">
        <f>A$10</f>
        <v>Publiskās attiecināmās izmaksas</v>
      </c>
      <c r="B278" s="311">
        <f>SUM(B273:B277)</f>
        <v>0</v>
      </c>
      <c r="C278" s="311"/>
      <c r="D278" s="311">
        <f t="shared" ref="D278:R278" si="154">SUM(D273:D277)</f>
        <v>0</v>
      </c>
      <c r="E278" s="311"/>
      <c r="F278" s="311">
        <f t="shared" si="154"/>
        <v>0</v>
      </c>
      <c r="G278" s="311"/>
      <c r="H278" s="311">
        <f t="shared" si="154"/>
        <v>0</v>
      </c>
      <c r="I278" s="311"/>
      <c r="J278" s="311">
        <f t="shared" si="154"/>
        <v>0</v>
      </c>
      <c r="K278" s="311"/>
      <c r="L278" s="311">
        <f t="shared" si="154"/>
        <v>0</v>
      </c>
      <c r="M278" s="311"/>
      <c r="N278" s="311">
        <f t="shared" si="154"/>
        <v>0</v>
      </c>
      <c r="O278" s="311"/>
      <c r="P278" s="311">
        <f t="shared" si="154"/>
        <v>0</v>
      </c>
      <c r="Q278" s="311"/>
      <c r="R278" s="311">
        <f t="shared" si="154"/>
        <v>0</v>
      </c>
      <c r="S278" s="311"/>
      <c r="T278" s="414">
        <f t="shared" si="152"/>
        <v>0</v>
      </c>
      <c r="U278" s="411" t="e">
        <f t="shared" si="153"/>
        <v>#DIV/0!</v>
      </c>
    </row>
    <row r="279" spans="1:21" ht="12.75" customHeight="1">
      <c r="A279" s="412" t="str">
        <f>A$11</f>
        <v>Privātās attiecināmās izmaksas</v>
      </c>
      <c r="B279" s="444">
        <f>B280*$L$270-B273</f>
        <v>0</v>
      </c>
      <c r="C279" s="444"/>
      <c r="D279" s="444">
        <f t="shared" ref="D279:R279" si="155">D280*$L$270-D273</f>
        <v>0</v>
      </c>
      <c r="E279" s="444"/>
      <c r="F279" s="444">
        <f t="shared" si="155"/>
        <v>0</v>
      </c>
      <c r="G279" s="444"/>
      <c r="H279" s="444">
        <f t="shared" si="155"/>
        <v>0</v>
      </c>
      <c r="I279" s="444"/>
      <c r="J279" s="444">
        <f t="shared" si="155"/>
        <v>0</v>
      </c>
      <c r="K279" s="444"/>
      <c r="L279" s="444">
        <f t="shared" si="155"/>
        <v>0</v>
      </c>
      <c r="M279" s="444"/>
      <c r="N279" s="444">
        <f t="shared" si="155"/>
        <v>0</v>
      </c>
      <c r="O279" s="444"/>
      <c r="P279" s="444">
        <f t="shared" si="155"/>
        <v>0</v>
      </c>
      <c r="Q279" s="444"/>
      <c r="R279" s="444">
        <f t="shared" si="155"/>
        <v>0</v>
      </c>
      <c r="S279" s="444"/>
      <c r="T279" s="410">
        <f t="shared" si="152"/>
        <v>0</v>
      </c>
      <c r="U279" s="411" t="e">
        <f t="shared" si="153"/>
        <v>#DIV/0!</v>
      </c>
    </row>
    <row r="280" spans="1:21" ht="12.75" customHeight="1">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53"/>
        <v>#DIV/0!</v>
      </c>
    </row>
    <row r="281" spans="1:21" ht="12.75" customHeight="1">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56">SUM(B281:R281)</f>
        <v>0</v>
      </c>
      <c r="U281" s="445" t="s">
        <v>318</v>
      </c>
    </row>
    <row r="282" spans="1:21" ht="12.75" customHeight="1">
      <c r="A282" s="412" t="str">
        <f>A$14</f>
        <v>Privātās neattiecināmās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56"/>
        <v>0</v>
      </c>
      <c r="U282" s="445" t="s">
        <v>318</v>
      </c>
    </row>
    <row r="283" spans="1:21" ht="12.75" customHeight="1">
      <c r="A283" s="413" t="str">
        <f>A$15</f>
        <v>Neattiecināmās izmaksas kopā</v>
      </c>
      <c r="B283" s="311">
        <f>SUM(B281:B282)</f>
        <v>0</v>
      </c>
      <c r="C283" s="311"/>
      <c r="D283" s="311">
        <f t="shared" ref="D283:R283" si="157">SUM(D281:D282)</f>
        <v>0</v>
      </c>
      <c r="E283" s="311"/>
      <c r="F283" s="311">
        <f t="shared" si="157"/>
        <v>0</v>
      </c>
      <c r="G283" s="311"/>
      <c r="H283" s="311">
        <f t="shared" si="157"/>
        <v>0</v>
      </c>
      <c r="I283" s="311"/>
      <c r="J283" s="311">
        <f t="shared" si="157"/>
        <v>0</v>
      </c>
      <c r="K283" s="311"/>
      <c r="L283" s="311">
        <f t="shared" si="157"/>
        <v>0</v>
      </c>
      <c r="M283" s="311"/>
      <c r="N283" s="311">
        <f t="shared" si="157"/>
        <v>0</v>
      </c>
      <c r="O283" s="311"/>
      <c r="P283" s="311">
        <f t="shared" si="157"/>
        <v>0</v>
      </c>
      <c r="Q283" s="311"/>
      <c r="R283" s="311">
        <f t="shared" si="157"/>
        <v>0</v>
      </c>
      <c r="S283" s="311"/>
      <c r="T283" s="414">
        <f t="shared" si="156"/>
        <v>0</v>
      </c>
      <c r="U283" s="445" t="s">
        <v>318</v>
      </c>
    </row>
    <row r="284" spans="1:21" ht="12.75" customHeight="1">
      <c r="A284" s="418" t="str">
        <f>A$16</f>
        <v>Kopējās izmaksas</v>
      </c>
      <c r="B284" s="419">
        <f>B280+B283</f>
        <v>0</v>
      </c>
      <c r="C284" s="419"/>
      <c r="D284" s="419">
        <f t="shared" ref="D284:R284" si="158">D280+D283</f>
        <v>0</v>
      </c>
      <c r="E284" s="419"/>
      <c r="F284" s="419">
        <f t="shared" si="158"/>
        <v>0</v>
      </c>
      <c r="G284" s="419"/>
      <c r="H284" s="419">
        <f t="shared" si="158"/>
        <v>0</v>
      </c>
      <c r="I284" s="419"/>
      <c r="J284" s="419">
        <f t="shared" si="158"/>
        <v>0</v>
      </c>
      <c r="K284" s="419"/>
      <c r="L284" s="419">
        <f t="shared" si="158"/>
        <v>0</v>
      </c>
      <c r="M284" s="419"/>
      <c r="N284" s="419">
        <f t="shared" si="158"/>
        <v>0</v>
      </c>
      <c r="O284" s="419"/>
      <c r="P284" s="419">
        <f t="shared" si="158"/>
        <v>0</v>
      </c>
      <c r="Q284" s="419"/>
      <c r="R284" s="419">
        <f t="shared" si="158"/>
        <v>0</v>
      </c>
      <c r="S284" s="419"/>
      <c r="T284" s="414">
        <f>SUM(B284:R284)</f>
        <v>0</v>
      </c>
      <c r="U284" s="445" t="s">
        <v>318</v>
      </c>
    </row>
    <row r="288" spans="1:21">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bottomRight" activeCell="D291" sqref="D291"/>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11.42578125" style="4" customWidth="1"/>
    <col min="23" max="23" width="10.85546875" style="4" customWidth="1"/>
    <col min="24" max="24" width="9.140625" style="4" customWidth="1"/>
    <col min="25" max="16384" width="9.140625" style="4"/>
  </cols>
  <sheetData>
    <row r="1" spans="1:22" s="1" customFormat="1" ht="27" customHeight="1">
      <c r="A1" s="581" t="s">
        <v>341</v>
      </c>
      <c r="B1" s="581"/>
      <c r="C1" s="581"/>
      <c r="D1" s="581"/>
      <c r="E1" s="404"/>
      <c r="F1" s="2"/>
      <c r="G1" s="2"/>
      <c r="H1" s="2"/>
      <c r="I1" s="2"/>
      <c r="J1" s="2"/>
      <c r="K1" s="2"/>
      <c r="L1" s="2"/>
      <c r="M1" s="2"/>
      <c r="N1" s="2"/>
      <c r="O1" s="2"/>
      <c r="P1" s="2"/>
      <c r="Q1" s="2"/>
      <c r="R1" s="2"/>
      <c r="S1" s="2"/>
      <c r="T1" s="2"/>
      <c r="U1" s="2"/>
    </row>
    <row r="2" spans="1:22" ht="24.95" customHeight="1">
      <c r="A2" s="405" t="s">
        <v>342</v>
      </c>
      <c r="B2" s="3"/>
      <c r="C2" s="3"/>
      <c r="D2" s="3"/>
      <c r="E2" s="3"/>
      <c r="F2" s="2"/>
      <c r="G2" s="2"/>
      <c r="H2" s="2"/>
      <c r="I2" s="2"/>
      <c r="J2" s="2"/>
      <c r="K2" s="2"/>
      <c r="L2" s="2"/>
      <c r="M2" s="2"/>
      <c r="N2" s="2"/>
      <c r="O2" s="2"/>
      <c r="P2" s="2"/>
      <c r="Q2" s="2"/>
      <c r="R2" s="2"/>
      <c r="S2" s="2"/>
      <c r="T2" s="2"/>
      <c r="U2" s="2"/>
    </row>
    <row r="3" spans="1:22">
      <c r="A3" s="406" t="s">
        <v>310</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2" ht="12.75" customHeight="1">
      <c r="A4" s="408"/>
      <c r="B4" s="408" t="s">
        <v>311</v>
      </c>
      <c r="C4" s="408"/>
      <c r="D4" s="408" t="s">
        <v>311</v>
      </c>
      <c r="E4" s="408"/>
      <c r="F4" s="408" t="s">
        <v>311</v>
      </c>
      <c r="G4" s="408"/>
      <c r="H4" s="408" t="s">
        <v>311</v>
      </c>
      <c r="I4" s="408"/>
      <c r="J4" s="408" t="s">
        <v>311</v>
      </c>
      <c r="K4" s="408"/>
      <c r="L4" s="408" t="s">
        <v>311</v>
      </c>
      <c r="M4" s="408"/>
      <c r="N4" s="408" t="s">
        <v>311</v>
      </c>
      <c r="O4" s="408"/>
      <c r="P4" s="408" t="s">
        <v>311</v>
      </c>
      <c r="Q4" s="408"/>
      <c r="R4" s="408" t="s">
        <v>311</v>
      </c>
      <c r="S4" s="408"/>
      <c r="T4" s="408" t="s">
        <v>190</v>
      </c>
      <c r="U4" s="408" t="s">
        <v>134</v>
      </c>
    </row>
    <row r="5" spans="1:22">
      <c r="A5" s="458" t="s">
        <v>31</v>
      </c>
      <c r="B5" s="409">
        <f>SUM(B29,B45,B61,B77,B93,B109,B125,B141,B159,B175,B191,B207,B225,B257,B241,B273)</f>
        <v>532100</v>
      </c>
      <c r="C5" s="409"/>
      <c r="D5" s="409">
        <f>SUM(D29,D45,D61,D77,D93,D109,D125,D141,D159,D175,D191,D207,D225,D257,D241,D273)</f>
        <v>22100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554200</v>
      </c>
      <c r="U5" s="411">
        <f>T5/$T$12</f>
        <v>0.42499999999999999</v>
      </c>
    </row>
    <row r="6" spans="1:22">
      <c r="A6" s="412" t="s">
        <v>232</v>
      </c>
      <c r="B6" s="409">
        <f>SUM(B30,B46,B62,B78,B94,B110,B126,B142,B160,B176,B192,B208,B226,B258,B242,B274)</f>
        <v>93900</v>
      </c>
      <c r="C6" s="409"/>
      <c r="D6" s="409">
        <f>SUM(D30,D46,D62,D78,D94,D110,D126,D142,D160,D176,D192,D208,D226,D258,D242,D274)</f>
        <v>3900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97800</v>
      </c>
      <c r="U6" s="411">
        <f t="shared" ref="U6:U12" si="1">T6/$T$12</f>
        <v>7.4999999999999997E-2</v>
      </c>
    </row>
    <row r="7" spans="1:22" hidden="1">
      <c r="A7" s="412" t="s">
        <v>233</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f t="shared" si="1"/>
        <v>0</v>
      </c>
    </row>
    <row r="8" spans="1:22" hidden="1">
      <c r="A8" s="412" t="s">
        <v>312</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f t="shared" si="1"/>
        <v>0</v>
      </c>
    </row>
    <row r="9" spans="1:22" s="3" customFormat="1" hidden="1">
      <c r="A9" s="412" t="s">
        <v>343</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f t="shared" si="1"/>
        <v>0</v>
      </c>
    </row>
    <row r="10" spans="1:22" ht="15" customHeight="1">
      <c r="A10" s="413" t="s">
        <v>314</v>
      </c>
      <c r="B10" s="311">
        <f>SUM(B5:B9)</f>
        <v>626000</v>
      </c>
      <c r="C10" s="230"/>
      <c r="D10" s="230">
        <f>SUM(D5:D9)</f>
        <v>26000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652000</v>
      </c>
      <c r="U10" s="415">
        <f>T10/$T$12</f>
        <v>0.5</v>
      </c>
    </row>
    <row r="11" spans="1:22" ht="15" customHeight="1">
      <c r="A11" s="412" t="s">
        <v>315</v>
      </c>
      <c r="B11" s="409">
        <f>SUM(B35,B51,B67,B83,B99,B115,B131,B147,B165,B181,B197,B213,B231,B263,B247,B279)</f>
        <v>626000</v>
      </c>
      <c r="C11" s="409"/>
      <c r="D11" s="409">
        <f t="shared" ref="D11:R11" si="3">SUM(D35,D51,D67,D83,D99,D115,D131,D147,D165,D181,D197,D213,D231,D263,D247,D279)</f>
        <v>26000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652000</v>
      </c>
      <c r="U11" s="411">
        <f t="shared" si="1"/>
        <v>0.5</v>
      </c>
    </row>
    <row r="12" spans="1:22">
      <c r="A12" s="413" t="s">
        <v>316</v>
      </c>
      <c r="B12" s="311">
        <f>B10+B11</f>
        <v>1252000</v>
      </c>
      <c r="C12" s="230"/>
      <c r="D12" s="230">
        <f>D10+D11</f>
        <v>52000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1304000</v>
      </c>
      <c r="U12" s="415">
        <f t="shared" si="1"/>
        <v>1</v>
      </c>
      <c r="V12" s="4" t="str">
        <f>IF(T12='10. DL PI Budz.kops.'!C23,"Dati pareizi","Kļūda")</f>
        <v>Dati pareizi</v>
      </c>
    </row>
    <row r="13" spans="1:22">
      <c r="A13" s="412" t="s">
        <v>344</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318</v>
      </c>
    </row>
    <row r="14" spans="1:22">
      <c r="A14" s="412" t="s">
        <v>345</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318</v>
      </c>
    </row>
    <row r="15" spans="1:22" s="46" customFormat="1">
      <c r="A15" s="413" t="s">
        <v>346</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318</v>
      </c>
      <c r="V15" s="4" t="str">
        <f>IF(T15='10. DL PI Budz.kops.'!D23,"Dati pareizi","Kļūda")</f>
        <v>Dati pareizi</v>
      </c>
    </row>
    <row r="16" spans="1:22" ht="15">
      <c r="A16" s="418" t="s">
        <v>321</v>
      </c>
      <c r="B16" s="419">
        <f t="shared" ref="B16:R16" si="6">B12+B15</f>
        <v>1252000</v>
      </c>
      <c r="C16" s="420"/>
      <c r="D16" s="420">
        <f t="shared" si="6"/>
        <v>52000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1304000</v>
      </c>
      <c r="U16" s="417" t="s">
        <v>318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54" t="str">
        <f>IF(B19&gt;T5+T9-T153,"Norādītais pieejamais ES līdzfinansējums nevar būt lielāks par aprēķināto!","")</f>
        <v/>
      </c>
      <c r="C18" s="424"/>
      <c r="D18" s="424"/>
      <c r="E18" s="424"/>
      <c r="F18" s="424"/>
      <c r="G18" s="424"/>
      <c r="H18" s="424"/>
      <c r="I18" s="424"/>
      <c r="J18" s="424"/>
      <c r="K18" s="424"/>
      <c r="L18" s="424"/>
      <c r="M18" s="424"/>
      <c r="N18" s="424"/>
      <c r="O18" s="424"/>
      <c r="P18" s="424"/>
      <c r="Q18" s="424"/>
      <c r="R18" s="424"/>
      <c r="S18" s="424"/>
      <c r="T18" s="424"/>
      <c r="U18" s="422"/>
    </row>
    <row r="19" spans="1:23" ht="15">
      <c r="A19" s="425" t="s">
        <v>347</v>
      </c>
      <c r="B19" s="101"/>
      <c r="C19" s="455"/>
      <c r="D19" s="582" t="s">
        <v>348</v>
      </c>
      <c r="E19" s="582"/>
      <c r="F19" s="582"/>
      <c r="G19" s="582"/>
      <c r="H19" s="582"/>
      <c r="I19" s="582"/>
      <c r="J19" s="582"/>
      <c r="K19" s="582"/>
      <c r="L19" s="582"/>
      <c r="M19" s="582"/>
      <c r="N19" s="582"/>
      <c r="O19" s="582"/>
      <c r="P19" s="582"/>
      <c r="Q19" s="582"/>
      <c r="R19" s="582"/>
      <c r="S19" s="582"/>
      <c r="T19" s="582"/>
      <c r="U19" s="582"/>
      <c r="W19" s="4">
        <f>IF(B19=0,1,IF(B19&gt;'PIV 2.piel.-1'!T5,1,B19/'PIV 2.piel.-1'!T5))</f>
        <v>1</v>
      </c>
    </row>
    <row r="20" spans="1:23" ht="15.75" thickBot="1">
      <c r="A20" s="456" t="s">
        <v>349</v>
      </c>
      <c r="B20" s="532">
        <v>0.5</v>
      </c>
      <c r="C20" s="455"/>
      <c r="D20" s="583" t="s">
        <v>350</v>
      </c>
      <c r="E20" s="583"/>
      <c r="F20" s="583"/>
      <c r="G20" s="583"/>
      <c r="H20" s="583"/>
      <c r="I20" s="583"/>
      <c r="J20" s="583"/>
      <c r="K20" s="583"/>
      <c r="L20" s="583"/>
      <c r="M20" s="583"/>
      <c r="N20" s="583"/>
      <c r="O20" s="583"/>
      <c r="P20" s="583"/>
      <c r="Q20" s="583"/>
      <c r="R20" s="583"/>
      <c r="S20" s="583"/>
      <c r="T20" s="583"/>
      <c r="U20" s="583"/>
    </row>
    <row r="21" spans="1:23" ht="30" customHeight="1" thickTop="1" thickBot="1">
      <c r="A21" s="429" t="s">
        <v>322</v>
      </c>
      <c r="B21" s="48"/>
      <c r="C21" s="431"/>
      <c r="D21" s="584" t="s">
        <v>323</v>
      </c>
      <c r="E21" s="584"/>
      <c r="F21" s="584"/>
      <c r="G21" s="584"/>
      <c r="H21" s="584"/>
      <c r="I21" s="584"/>
      <c r="J21" s="584"/>
      <c r="K21" s="584"/>
      <c r="L21" s="584"/>
      <c r="M21" s="584"/>
      <c r="N21" s="584"/>
      <c r="O21" s="584"/>
      <c r="P21" s="584"/>
      <c r="Q21" s="584"/>
      <c r="R21" s="584"/>
      <c r="S21" s="584"/>
      <c r="T21" s="584"/>
      <c r="U21" s="584"/>
    </row>
    <row r="22" spans="1:23" ht="12.75"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c r="A23" s="432"/>
      <c r="B23" s="432">
        <f>IF($B$21=0,1,IF($B$21&gt;B27,0,IF($B$21=B27,2,1)))</f>
        <v>1</v>
      </c>
      <c r="C23" s="432"/>
      <c r="D23" s="432">
        <f t="shared" ref="D23" si="7">IF($B$21=0,1,IF($B$21&gt;D27,0,IF($B$21=D27,2,1)))</f>
        <v>1</v>
      </c>
      <c r="E23" s="432"/>
      <c r="F23" s="432">
        <f>IF($B$21=0,1,IF($B$21&gt;F27,0,IF($B$21=F27,2,1)))</f>
        <v>1</v>
      </c>
      <c r="G23" s="432"/>
      <c r="H23" s="432">
        <f t="shared" ref="H23" si="8">IF($B$21=0,1,IF($B$21&gt;H27,0,IF($B$21=H27,2,1)))</f>
        <v>1</v>
      </c>
      <c r="I23" s="432"/>
      <c r="J23" s="432">
        <f t="shared" ref="J23" si="9">IF($B$21=0,1,IF($B$21&gt;J27,0,IF($B$21=J27,2,1)))</f>
        <v>1</v>
      </c>
      <c r="K23" s="432"/>
      <c r="L23" s="432">
        <f t="shared" ref="L23" si="10">IF($B$21=0,1,IF($B$21&gt;L27,0,IF($B$21=L27,2,1)))</f>
        <v>1</v>
      </c>
      <c r="M23" s="432"/>
      <c r="N23" s="432">
        <f t="shared" ref="N23" si="11">IF($B$21=0,1,IF($B$21&gt;N27,0,IF($B$21=N27,2,1)))</f>
        <v>1</v>
      </c>
      <c r="O23" s="432"/>
      <c r="P23" s="432">
        <f t="shared" ref="P23" si="12">IF($B$21=0,1,IF($B$21&gt;P27,0,IF($B$21=P27,2,1)))</f>
        <v>1</v>
      </c>
      <c r="Q23" s="432"/>
      <c r="R23" s="432">
        <f t="shared" ref="R23" si="13">IF($B$21=0,1,IF($B$21&gt;R27,0,IF($B$21=R27,2,1)))</f>
        <v>1</v>
      </c>
      <c r="S23" s="432"/>
      <c r="T23" s="432"/>
      <c r="U23" s="432"/>
    </row>
    <row r="24" spans="1:23" ht="12.75"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21">
      <c r="A25" s="405" t="s">
        <v>324</v>
      </c>
      <c r="B25" s="422"/>
      <c r="C25" s="422"/>
      <c r="F25" s="422"/>
      <c r="G25" s="422"/>
      <c r="H25" s="422"/>
      <c r="I25" s="422"/>
      <c r="N25" s="422"/>
      <c r="O25" s="422"/>
      <c r="P25" s="422"/>
      <c r="Q25" s="422"/>
      <c r="R25" s="422"/>
      <c r="S25" s="422"/>
      <c r="T25" s="433"/>
      <c r="U25" s="422"/>
    </row>
    <row r="26" spans="1:23" ht="24" hidden="1" customHeight="1">
      <c r="A26" s="434" t="s">
        <v>99</v>
      </c>
      <c r="B26" s="435">
        <f>'Dati par projektu'!$C$4</f>
        <v>0</v>
      </c>
      <c r="C26" s="436"/>
      <c r="D26" s="436"/>
      <c r="E26" s="436"/>
      <c r="F26" s="435" t="str">
        <f>'Dati par projektu'!$C$5</f>
        <v>Kapitālsabiedrība</v>
      </c>
      <c r="G26" s="436"/>
      <c r="H26" s="437"/>
      <c r="I26" s="437"/>
      <c r="J26" s="437" t="s">
        <v>325</v>
      </c>
      <c r="K26" s="438"/>
      <c r="L26" s="439">
        <f>'1.1.A. Iesniedzējs'!C24</f>
        <v>0.85</v>
      </c>
      <c r="M26" s="437"/>
      <c r="N26" s="440" t="s">
        <v>326</v>
      </c>
      <c r="O26" s="440"/>
      <c r="P26" s="440"/>
      <c r="Q26" s="440"/>
      <c r="R26" s="440"/>
      <c r="S26" s="440"/>
      <c r="T26" s="440"/>
      <c r="U26" s="440"/>
      <c r="W26" s="4">
        <f>IF(F26=Dati!$J$3,1,IF(F26=Dati!$J$4,2,IF(F26=Dati!$J$5,3,0)))</f>
        <v>3</v>
      </c>
    </row>
    <row r="27" spans="1:23" hidden="1">
      <c r="A27" s="406" t="s">
        <v>310</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hidden="1">
      <c r="A28" s="441"/>
      <c r="B28" s="408" t="s">
        <v>311</v>
      </c>
      <c r="C28" s="408"/>
      <c r="D28" s="408" t="s">
        <v>311</v>
      </c>
      <c r="E28" s="408"/>
      <c r="F28" s="408" t="s">
        <v>311</v>
      </c>
      <c r="G28" s="408"/>
      <c r="H28" s="408" t="s">
        <v>311</v>
      </c>
      <c r="I28" s="408"/>
      <c r="J28" s="408" t="s">
        <v>311</v>
      </c>
      <c r="K28" s="408"/>
      <c r="L28" s="408" t="s">
        <v>311</v>
      </c>
      <c r="M28" s="408"/>
      <c r="N28" s="408" t="s">
        <v>311</v>
      </c>
      <c r="O28" s="408"/>
      <c r="P28" s="408" t="s">
        <v>311</v>
      </c>
      <c r="Q28" s="408"/>
      <c r="R28" s="408" t="s">
        <v>311</v>
      </c>
      <c r="S28" s="408"/>
      <c r="T28" s="408" t="s">
        <v>190</v>
      </c>
      <c r="U28" s="408" t="s">
        <v>134</v>
      </c>
    </row>
    <row r="29" spans="1:23" ht="12.75" hidden="1" customHeight="1">
      <c r="A29" s="442" t="str">
        <f>A$5</f>
        <v>Eiropas Reģionālās attīstības fonds</v>
      </c>
      <c r="B29" s="443">
        <f>(B36*$L$26)*$W$19-B33</f>
        <v>0</v>
      </c>
      <c r="C29" s="443"/>
      <c r="D29" s="443">
        <f t="shared" ref="D29:R29" si="14">(D36*$L$26)*$W$19-D33</f>
        <v>0</v>
      </c>
      <c r="E29" s="443"/>
      <c r="F29" s="443">
        <f t="shared" si="14"/>
        <v>0</v>
      </c>
      <c r="G29" s="443"/>
      <c r="H29" s="443">
        <f t="shared" si="14"/>
        <v>0</v>
      </c>
      <c r="I29" s="443"/>
      <c r="J29" s="443">
        <f t="shared" si="14"/>
        <v>0</v>
      </c>
      <c r="K29" s="443"/>
      <c r="L29" s="443">
        <f t="shared" si="14"/>
        <v>0</v>
      </c>
      <c r="M29" s="443"/>
      <c r="N29" s="443">
        <f t="shared" si="14"/>
        <v>0</v>
      </c>
      <c r="O29" s="443"/>
      <c r="P29" s="443">
        <f t="shared" si="14"/>
        <v>0</v>
      </c>
      <c r="Q29" s="443"/>
      <c r="R29" s="443">
        <f t="shared" si="14"/>
        <v>0</v>
      </c>
      <c r="S29" s="443"/>
      <c r="T29" s="410">
        <f t="shared" ref="T29:T40" si="15">SUM(B29:R29)</f>
        <v>0</v>
      </c>
      <c r="U29" s="411" t="e">
        <f>T29/T$36</f>
        <v>#DIV/0!</v>
      </c>
    </row>
    <row r="30" spans="1:23" ht="12.75" hidden="1" customHeight="1">
      <c r="A30" s="412" t="str">
        <f>A$6</f>
        <v>Attiecināmais valsts budžeta finansējums</v>
      </c>
      <c r="B30" s="443">
        <f>IF($W26=2,B36-B29-B33,0)</f>
        <v>0</v>
      </c>
      <c r="C30" s="443"/>
      <c r="D30" s="443">
        <f t="shared" ref="D30:R30" si="16">IF($W26=2,D36-D29-D33,0)</f>
        <v>0</v>
      </c>
      <c r="E30" s="443"/>
      <c r="F30" s="443">
        <f t="shared" si="16"/>
        <v>0</v>
      </c>
      <c r="G30" s="443"/>
      <c r="H30" s="443">
        <f t="shared" si="16"/>
        <v>0</v>
      </c>
      <c r="I30" s="443"/>
      <c r="J30" s="443">
        <f t="shared" si="16"/>
        <v>0</v>
      </c>
      <c r="K30" s="443"/>
      <c r="L30" s="443">
        <f t="shared" si="16"/>
        <v>0</v>
      </c>
      <c r="M30" s="443"/>
      <c r="N30" s="443">
        <f t="shared" si="16"/>
        <v>0</v>
      </c>
      <c r="O30" s="443"/>
      <c r="P30" s="443">
        <f t="shared" si="16"/>
        <v>0</v>
      </c>
      <c r="Q30" s="443"/>
      <c r="R30" s="443">
        <f t="shared" si="16"/>
        <v>0</v>
      </c>
      <c r="S30" s="443"/>
      <c r="T30" s="410">
        <f t="shared" si="15"/>
        <v>0</v>
      </c>
      <c r="U30" s="411" t="e">
        <f t="shared" ref="U30:U36" si="17">T30/T$36</f>
        <v>#DIV/0!</v>
      </c>
    </row>
    <row r="31" spans="1:23" ht="12.75" hidden="1" customHeight="1">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5"/>
        <v>0</v>
      </c>
      <c r="U31" s="411" t="e">
        <f t="shared" si="17"/>
        <v>#DIV/0!</v>
      </c>
    </row>
    <row r="32" spans="1:23" ht="12.75" hidden="1" customHeight="1">
      <c r="A32" s="412" t="str">
        <f>A$8</f>
        <v>Pašvaldības finansējums</v>
      </c>
      <c r="B32" s="444">
        <f>IF($W$26=1,B36-B29-B31-B33,0)</f>
        <v>0</v>
      </c>
      <c r="C32" s="444"/>
      <c r="D32" s="444">
        <f t="shared" ref="D32:R32" si="18">IF($W$26=1,D36-D29-D31-D33,0)</f>
        <v>0</v>
      </c>
      <c r="E32" s="444"/>
      <c r="F32" s="444">
        <f t="shared" si="18"/>
        <v>0</v>
      </c>
      <c r="G32" s="444"/>
      <c r="H32" s="444">
        <f t="shared" si="18"/>
        <v>0</v>
      </c>
      <c r="I32" s="444"/>
      <c r="J32" s="444">
        <f t="shared" si="18"/>
        <v>0</v>
      </c>
      <c r="K32" s="444"/>
      <c r="L32" s="444">
        <f t="shared" si="18"/>
        <v>0</v>
      </c>
      <c r="M32" s="444"/>
      <c r="N32" s="444">
        <f t="shared" si="18"/>
        <v>0</v>
      </c>
      <c r="O32" s="444"/>
      <c r="P32" s="444">
        <f t="shared" si="18"/>
        <v>0</v>
      </c>
      <c r="Q32" s="444"/>
      <c r="R32" s="444">
        <f t="shared" si="18"/>
        <v>0</v>
      </c>
      <c r="S32" s="444"/>
      <c r="T32" s="410">
        <f t="shared" si="15"/>
        <v>0</v>
      </c>
      <c r="U32" s="411" t="e">
        <f t="shared" si="17"/>
        <v>#DIV/0!</v>
      </c>
    </row>
    <row r="33" spans="1:23" s="3" customFormat="1" ht="12.75" hidden="1" customHeight="1">
      <c r="A33" s="412" t="str">
        <f>A$9</f>
        <v xml:space="preserve">Elastības finansējuma apjoms </v>
      </c>
      <c r="B33" s="444">
        <f>B36*$L$26*$W$20</f>
        <v>0</v>
      </c>
      <c r="C33" s="444"/>
      <c r="D33" s="444">
        <f t="shared" ref="D33:R33" si="19">D36*$L$26*$W$20</f>
        <v>0</v>
      </c>
      <c r="E33" s="444"/>
      <c r="F33" s="444">
        <f t="shared" si="19"/>
        <v>0</v>
      </c>
      <c r="G33" s="444"/>
      <c r="H33" s="444">
        <f t="shared" si="19"/>
        <v>0</v>
      </c>
      <c r="I33" s="444"/>
      <c r="J33" s="444">
        <f t="shared" si="19"/>
        <v>0</v>
      </c>
      <c r="K33" s="444"/>
      <c r="L33" s="444">
        <f t="shared" si="19"/>
        <v>0</v>
      </c>
      <c r="M33" s="444"/>
      <c r="N33" s="444">
        <f t="shared" si="19"/>
        <v>0</v>
      </c>
      <c r="O33" s="444"/>
      <c r="P33" s="444">
        <f t="shared" si="19"/>
        <v>0</v>
      </c>
      <c r="Q33" s="444"/>
      <c r="R33" s="444">
        <f t="shared" si="19"/>
        <v>0</v>
      </c>
      <c r="S33" s="444"/>
      <c r="T33" s="410">
        <f t="shared" si="15"/>
        <v>0</v>
      </c>
      <c r="U33" s="411" t="e">
        <f t="shared" si="17"/>
        <v>#DIV/0!</v>
      </c>
    </row>
    <row r="34" spans="1:23" ht="12.75" hidden="1" customHeight="1">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5"/>
        <v>0</v>
      </c>
      <c r="U34" s="415" t="e">
        <f t="shared" si="17"/>
        <v>#DIV/0!</v>
      </c>
    </row>
    <row r="35" spans="1:23" ht="12.75" hidden="1" customHeight="1">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5"/>
        <v>0</v>
      </c>
      <c r="U35" s="411" t="e">
        <f t="shared" si="17"/>
        <v>#DIV/0!</v>
      </c>
    </row>
    <row r="36" spans="1:23" ht="12.75" hidden="1" customHeight="1">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5"/>
        <v>0</v>
      </c>
      <c r="U36" s="415" t="e">
        <f t="shared" si="17"/>
        <v>#DIV/0!</v>
      </c>
    </row>
    <row r="37" spans="1:23" ht="12.75" hidden="1" customHeight="1">
      <c r="A37" s="412" t="str">
        <f>A$13</f>
        <v>Publiskās ārpusprojekta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318</v>
      </c>
    </row>
    <row r="38" spans="1:23" ht="12.75" hidden="1" customHeight="1">
      <c r="A38" s="412" t="str">
        <f>A$14</f>
        <v>Privātās ārpusprojekta izmaksas</v>
      </c>
      <c r="B38" s="446"/>
      <c r="C38" s="446"/>
      <c r="D38" s="446"/>
      <c r="E38" s="446"/>
      <c r="F38" s="446"/>
      <c r="G38" s="446"/>
      <c r="H38" s="446"/>
      <c r="I38" s="446"/>
      <c r="J38" s="446"/>
      <c r="K38" s="446"/>
      <c r="L38" s="446"/>
      <c r="M38" s="446"/>
      <c r="N38" s="446"/>
      <c r="O38" s="446"/>
      <c r="P38" s="446"/>
      <c r="Q38" s="446"/>
      <c r="R38" s="446"/>
      <c r="S38" s="446"/>
      <c r="T38" s="410">
        <f t="shared" si="15"/>
        <v>0</v>
      </c>
      <c r="U38" s="445" t="s">
        <v>318</v>
      </c>
    </row>
    <row r="39" spans="1:23" ht="12.75" hidden="1" customHeight="1">
      <c r="A39" s="413" t="str">
        <f>A$15</f>
        <v>Ārpusprojekta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5"/>
        <v>0</v>
      </c>
      <c r="U39" s="445" t="s">
        <v>318</v>
      </c>
    </row>
    <row r="40" spans="1:23" ht="12.75" hidden="1" customHeight="1">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5"/>
        <v>0</v>
      </c>
      <c r="U40" s="445" t="s">
        <v>318</v>
      </c>
    </row>
    <row r="41" spans="1:23" ht="12.75" hidden="1" customHeight="1">
      <c r="A41" s="432"/>
      <c r="B41" s="432"/>
      <c r="C41" s="432"/>
      <c r="D41" s="432"/>
      <c r="E41" s="432"/>
      <c r="F41" s="432"/>
      <c r="G41" s="432"/>
      <c r="H41" s="432"/>
      <c r="I41" s="432"/>
      <c r="J41" s="432"/>
      <c r="K41" s="432"/>
      <c r="L41" s="432"/>
      <c r="M41" s="432"/>
      <c r="N41" s="432"/>
      <c r="O41" s="432"/>
      <c r="P41" s="432"/>
      <c r="Q41" s="432"/>
      <c r="R41" s="432"/>
      <c r="S41" s="432"/>
      <c r="T41" s="432"/>
      <c r="U41" s="432"/>
    </row>
    <row r="42" spans="1:23" ht="24" hidden="1" customHeight="1">
      <c r="A42" s="434" t="s">
        <v>99</v>
      </c>
      <c r="B42" s="435">
        <f>'Dati par projektu'!$C$4</f>
        <v>0</v>
      </c>
      <c r="C42" s="436"/>
      <c r="D42" s="436"/>
      <c r="E42" s="436"/>
      <c r="F42" s="435" t="str">
        <f>'Dati par projektu'!$C$5</f>
        <v>Kapitālsabiedrība</v>
      </c>
      <c r="G42" s="436"/>
      <c r="H42" s="437"/>
      <c r="I42" s="436"/>
      <c r="J42" s="437" t="s">
        <v>325</v>
      </c>
      <c r="K42" s="436"/>
      <c r="L42" s="439">
        <f>'11. DL 4.pielikums'!$E$43</f>
        <v>0</v>
      </c>
      <c r="M42" s="436"/>
      <c r="N42" s="440" t="s">
        <v>327</v>
      </c>
      <c r="O42" s="436"/>
      <c r="P42" s="437"/>
      <c r="Q42" s="436"/>
      <c r="R42" s="437"/>
      <c r="S42" s="436"/>
      <c r="T42" s="437"/>
      <c r="U42" s="437"/>
      <c r="W42" s="4">
        <f>IF(F42=Dati!$J$3,1,IF(F42=Dati!$J$4,2,IF(F42=Dati!$J$5,3,0)))</f>
        <v>3</v>
      </c>
    </row>
    <row r="43" spans="1:23" ht="12.75" hidden="1" customHeight="1">
      <c r="A43" s="406" t="s">
        <v>310</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hidden="1">
      <c r="A44" s="441"/>
      <c r="B44" s="408" t="s">
        <v>311</v>
      </c>
      <c r="C44" s="408"/>
      <c r="D44" s="408" t="s">
        <v>311</v>
      </c>
      <c r="E44" s="408"/>
      <c r="F44" s="408" t="s">
        <v>311</v>
      </c>
      <c r="G44" s="408"/>
      <c r="H44" s="408" t="s">
        <v>311</v>
      </c>
      <c r="I44" s="408"/>
      <c r="J44" s="408" t="s">
        <v>311</v>
      </c>
      <c r="K44" s="408"/>
      <c r="L44" s="408" t="s">
        <v>311</v>
      </c>
      <c r="M44" s="408"/>
      <c r="N44" s="408" t="s">
        <v>311</v>
      </c>
      <c r="O44" s="408"/>
      <c r="P44" s="408" t="s">
        <v>311</v>
      </c>
      <c r="Q44" s="408"/>
      <c r="R44" s="408" t="s">
        <v>311</v>
      </c>
      <c r="S44" s="408"/>
      <c r="T44" s="408" t="s">
        <v>190</v>
      </c>
      <c r="U44" s="408" t="s">
        <v>134</v>
      </c>
    </row>
    <row r="45" spans="1:23" ht="12.75" hidden="1" customHeight="1">
      <c r="A45" s="442" t="str">
        <f>A$5</f>
        <v>Eiropas Reģionālās attīstības fonds</v>
      </c>
      <c r="B45" s="443">
        <f>(B52*$L$42)*$W$19-B49</f>
        <v>0</v>
      </c>
      <c r="C45" s="443"/>
      <c r="D45" s="443">
        <f t="shared" ref="D45:R45" si="24">(D52*$L$42)*$W$19-D49</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hidden="1" customHeight="1">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hidden="1" customHeight="1">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hidden="1" customHeight="1">
      <c r="A48" s="412" t="str">
        <f>A$8</f>
        <v>Pašvaldības finansējums</v>
      </c>
      <c r="B48" s="444">
        <f>IF($W42=1,B52-B45-B47-B51-B49,0)</f>
        <v>0</v>
      </c>
      <c r="C48" s="444"/>
      <c r="D48" s="444">
        <f t="shared" ref="D48:R48" si="28">IF($W42=1,D52-D45-D47-D51-D49,0)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hidden="1" customHeight="1">
      <c r="A49" s="412" t="str">
        <f>A$9</f>
        <v xml:space="preserve">Elastības finansējuma apjoms </v>
      </c>
      <c r="B49" s="444">
        <f>B52*$L$42*$W$20</f>
        <v>0</v>
      </c>
      <c r="C49" s="444"/>
      <c r="D49" s="444">
        <f t="shared" ref="D49:R49" si="29">D52*$L$42*$W$20</f>
        <v>0</v>
      </c>
      <c r="E49" s="444"/>
      <c r="F49" s="444">
        <f t="shared" si="29"/>
        <v>0</v>
      </c>
      <c r="G49" s="444"/>
      <c r="H49" s="444">
        <f t="shared" si="29"/>
        <v>0</v>
      </c>
      <c r="I49" s="444"/>
      <c r="J49" s="444">
        <f t="shared" si="29"/>
        <v>0</v>
      </c>
      <c r="K49" s="444"/>
      <c r="L49" s="444">
        <f t="shared" si="29"/>
        <v>0</v>
      </c>
      <c r="M49" s="444"/>
      <c r="N49" s="444">
        <f t="shared" si="29"/>
        <v>0</v>
      </c>
      <c r="O49" s="444"/>
      <c r="P49" s="444">
        <f t="shared" si="29"/>
        <v>0</v>
      </c>
      <c r="Q49" s="444"/>
      <c r="R49" s="444">
        <f t="shared" si="29"/>
        <v>0</v>
      </c>
      <c r="S49" s="444"/>
      <c r="T49" s="410">
        <f t="shared" si="25"/>
        <v>0</v>
      </c>
      <c r="U49" s="411" t="e">
        <f>T49/T$52</f>
        <v>#DIV/0!</v>
      </c>
    </row>
    <row r="50" spans="1:23" ht="12.75" hidden="1" customHeight="1">
      <c r="A50" s="413" t="str">
        <f>A$10</f>
        <v>Publiskās attiecināmās izmaksas</v>
      </c>
      <c r="B50" s="311">
        <f>SUM(B45:B49)</f>
        <v>0</v>
      </c>
      <c r="C50" s="311"/>
      <c r="D50" s="311">
        <f t="shared" ref="D50:R50" si="30">SUM(D45:D49)</f>
        <v>0</v>
      </c>
      <c r="E50" s="311"/>
      <c r="F50" s="311">
        <f t="shared" si="30"/>
        <v>0</v>
      </c>
      <c r="G50" s="311"/>
      <c r="H50" s="311">
        <f t="shared" si="30"/>
        <v>0</v>
      </c>
      <c r="I50" s="311"/>
      <c r="J50" s="311">
        <f t="shared" si="30"/>
        <v>0</v>
      </c>
      <c r="K50" s="311"/>
      <c r="L50" s="311">
        <f t="shared" si="30"/>
        <v>0</v>
      </c>
      <c r="M50" s="311"/>
      <c r="N50" s="311">
        <f t="shared" si="30"/>
        <v>0</v>
      </c>
      <c r="O50" s="311"/>
      <c r="P50" s="311">
        <f t="shared" si="30"/>
        <v>0</v>
      </c>
      <c r="Q50" s="311"/>
      <c r="R50" s="311">
        <f t="shared" si="30"/>
        <v>0</v>
      </c>
      <c r="S50" s="311"/>
      <c r="T50" s="414">
        <f t="shared" si="25"/>
        <v>0</v>
      </c>
      <c r="U50" s="415" t="e">
        <f t="shared" si="27"/>
        <v>#DIV/0!</v>
      </c>
    </row>
    <row r="51" spans="1:23" ht="12.75" hidden="1" customHeight="1">
      <c r="A51" s="412" t="str">
        <f>A$11</f>
        <v>Privātās attiecināmās izmaksas</v>
      </c>
      <c r="B51" s="444">
        <f>B52*'11. DL 4.pielikums'!$G$35-B52*$L$42</f>
        <v>0</v>
      </c>
      <c r="C51" s="444"/>
      <c r="D51" s="444">
        <f>D52*'11. DL 4.pielikums'!$G$35-D52*$L$42</f>
        <v>0</v>
      </c>
      <c r="E51" s="444"/>
      <c r="F51" s="444">
        <f>F52*'11. DL 4.pielikums'!$G$35-F52*$L$42</f>
        <v>0</v>
      </c>
      <c r="G51" s="444"/>
      <c r="H51" s="444">
        <f>H52*'11. DL 4.pielikums'!$G$35-H52*$L$42</f>
        <v>0</v>
      </c>
      <c r="I51" s="444"/>
      <c r="J51" s="444">
        <f>J52*'11. DL 4.pielikums'!$G$35-J52*$L$42</f>
        <v>0</v>
      </c>
      <c r="K51" s="444"/>
      <c r="L51" s="444">
        <f>L52*'11. DL 4.pielikums'!$G$35-L52*$L$42</f>
        <v>0</v>
      </c>
      <c r="M51" s="444"/>
      <c r="N51" s="444">
        <f>N52*'11. DL 4.pielikums'!$G$35-N52*$L$42</f>
        <v>0</v>
      </c>
      <c r="O51" s="444"/>
      <c r="P51" s="444">
        <f>P52*'11. DL 4.pielikums'!$G$35-P52*$L$42</f>
        <v>0</v>
      </c>
      <c r="Q51" s="444"/>
      <c r="R51" s="444">
        <f>R52*'11. DL 4.pielikums'!$G$35-R52*$L$42</f>
        <v>0</v>
      </c>
      <c r="S51" s="444"/>
      <c r="T51" s="410">
        <f t="shared" si="25"/>
        <v>0</v>
      </c>
      <c r="U51" s="411" t="e">
        <f t="shared" si="27"/>
        <v>#DIV/0!</v>
      </c>
    </row>
    <row r="52" spans="1:23" ht="12.75" hidden="1" customHeight="1">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hidden="1" customHeight="1">
      <c r="A53" s="412" t="str">
        <f>A$13</f>
        <v>Publiskās ārpusprojekta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318</v>
      </c>
    </row>
    <row r="54" spans="1:23" ht="12.75" hidden="1" customHeight="1">
      <c r="A54" s="412" t="str">
        <f>A$14</f>
        <v>Privātās ārpusprojekta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318</v>
      </c>
    </row>
    <row r="55" spans="1:23" ht="12.75" hidden="1" customHeight="1">
      <c r="A55" s="413" t="str">
        <f>A$15</f>
        <v>Ārpusprojekta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318</v>
      </c>
    </row>
    <row r="56" spans="1:23" ht="12.75" hidden="1" customHeight="1">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318</v>
      </c>
    </row>
    <row r="57" spans="1:23" ht="12.75" hidden="1" customHeight="1">
      <c r="A57" s="432"/>
      <c r="B57" s="432"/>
      <c r="C57" s="432"/>
      <c r="D57" s="432"/>
      <c r="E57" s="432"/>
      <c r="F57" s="432"/>
      <c r="G57" s="432"/>
      <c r="H57" s="432"/>
      <c r="I57" s="432"/>
      <c r="J57" s="432"/>
      <c r="K57" s="432"/>
      <c r="L57" s="432"/>
      <c r="M57" s="432"/>
      <c r="N57" s="432"/>
      <c r="O57" s="432"/>
      <c r="P57" s="432"/>
      <c r="Q57" s="432"/>
      <c r="R57" s="432"/>
      <c r="S57" s="432"/>
      <c r="T57" s="432"/>
      <c r="U57" s="432"/>
    </row>
    <row r="58" spans="1:23" ht="24" hidden="1" customHeight="1">
      <c r="A58" s="434" t="s">
        <v>99</v>
      </c>
      <c r="B58" s="435">
        <f>'Dati par projektu'!$C$4</f>
        <v>0</v>
      </c>
      <c r="C58" s="436"/>
      <c r="D58" s="436"/>
      <c r="E58" s="436"/>
      <c r="F58" s="435" t="str">
        <f>'Dati par projektu'!$C$5</f>
        <v>Kapitālsabiedrība</v>
      </c>
      <c r="G58" s="436"/>
      <c r="H58" s="437"/>
      <c r="I58" s="436"/>
      <c r="J58" s="437" t="s">
        <v>325</v>
      </c>
      <c r="K58" s="436"/>
      <c r="L58" s="439">
        <f>'1.1.B. Iesniedzējs'!C14</f>
        <v>1</v>
      </c>
      <c r="M58" s="436"/>
      <c r="N58" s="440" t="s">
        <v>328</v>
      </c>
      <c r="O58" s="436"/>
      <c r="P58" s="437"/>
      <c r="Q58" s="436"/>
      <c r="R58" s="437"/>
      <c r="S58" s="436"/>
      <c r="T58" s="437"/>
      <c r="U58" s="437"/>
      <c r="W58" s="4">
        <f>IF(F58=Dati!$J$3,1,IF(F58=Dati!$J$4,2,IF(F58=Dati!$J$5,3,0)))</f>
        <v>3</v>
      </c>
    </row>
    <row r="59" spans="1:23" hidden="1">
      <c r="A59" s="406" t="s">
        <v>310</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hidden="1">
      <c r="A60" s="441"/>
      <c r="B60" s="408" t="s">
        <v>311</v>
      </c>
      <c r="C60" s="408"/>
      <c r="D60" s="408" t="s">
        <v>311</v>
      </c>
      <c r="E60" s="408"/>
      <c r="F60" s="408" t="s">
        <v>311</v>
      </c>
      <c r="G60" s="408"/>
      <c r="H60" s="408" t="s">
        <v>311</v>
      </c>
      <c r="I60" s="408"/>
      <c r="J60" s="408" t="s">
        <v>311</v>
      </c>
      <c r="K60" s="408"/>
      <c r="L60" s="408" t="s">
        <v>311</v>
      </c>
      <c r="M60" s="408"/>
      <c r="N60" s="408" t="s">
        <v>311</v>
      </c>
      <c r="O60" s="408"/>
      <c r="P60" s="408" t="s">
        <v>311</v>
      </c>
      <c r="Q60" s="408"/>
      <c r="R60" s="408" t="s">
        <v>311</v>
      </c>
      <c r="S60" s="408"/>
      <c r="T60" s="408" t="s">
        <v>190</v>
      </c>
      <c r="U60" s="408" t="s">
        <v>134</v>
      </c>
    </row>
    <row r="61" spans="1:23" ht="12.75" hidden="1" customHeight="1">
      <c r="A61" s="442" t="str">
        <f>A$5</f>
        <v>Eiropas Reģionālās attīstības fonds</v>
      </c>
      <c r="B61" s="443">
        <f>(B68*$L$58)*$W$19-B65</f>
        <v>0</v>
      </c>
      <c r="C61" s="443"/>
      <c r="D61" s="443">
        <f t="shared" ref="D61:P61" si="33">(D68*$L$58)*$W$19-D65</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ref="R61" si="34">(R68*$L$58-R65)*$W$19</f>
        <v>0</v>
      </c>
      <c r="S61" s="443"/>
      <c r="T61" s="410">
        <f t="shared" ref="T61:T67" si="35">SUM(B61:R61)</f>
        <v>0</v>
      </c>
      <c r="U61" s="411" t="e">
        <f>T61/$T$68</f>
        <v>#DIV/0!</v>
      </c>
    </row>
    <row r="62" spans="1:23" ht="12.75" hidden="1" customHeight="1">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5"/>
        <v>0</v>
      </c>
      <c r="U62" s="411" t="e">
        <f t="shared" ref="U62:U68" si="36">T62/$T$68</f>
        <v>#DIV/0!</v>
      </c>
    </row>
    <row r="63" spans="1:23" ht="12.75" hidden="1" customHeight="1">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5"/>
        <v>0</v>
      </c>
      <c r="U63" s="411" t="e">
        <f t="shared" si="36"/>
        <v>#DIV/0!</v>
      </c>
    </row>
    <row r="64" spans="1:23" ht="12.75" hidden="1" customHeight="1">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5"/>
        <v>0</v>
      </c>
      <c r="U64" s="411" t="e">
        <f t="shared" si="36"/>
        <v>#DIV/0!</v>
      </c>
    </row>
    <row r="65" spans="1:23" s="3" customFormat="1" ht="12.75" hidden="1" customHeight="1">
      <c r="A65" s="412" t="str">
        <f>A$9</f>
        <v xml:space="preserve">Elastības finansējuma apjoms </v>
      </c>
      <c r="B65" s="444">
        <f>B68*$W$20*$L$58</f>
        <v>0</v>
      </c>
      <c r="C65" s="444"/>
      <c r="D65" s="444">
        <f t="shared" ref="D65:R65" si="37">D68*$W$20*$L$58</f>
        <v>0</v>
      </c>
      <c r="E65" s="444"/>
      <c r="F65" s="444">
        <f t="shared" si="37"/>
        <v>0</v>
      </c>
      <c r="G65" s="444"/>
      <c r="H65" s="444">
        <f t="shared" si="37"/>
        <v>0</v>
      </c>
      <c r="I65" s="444"/>
      <c r="J65" s="444">
        <f t="shared" si="37"/>
        <v>0</v>
      </c>
      <c r="K65" s="444"/>
      <c r="L65" s="444">
        <f t="shared" si="37"/>
        <v>0</v>
      </c>
      <c r="M65" s="444"/>
      <c r="N65" s="444">
        <f t="shared" si="37"/>
        <v>0</v>
      </c>
      <c r="O65" s="444"/>
      <c r="P65" s="444">
        <f t="shared" si="37"/>
        <v>0</v>
      </c>
      <c r="Q65" s="444"/>
      <c r="R65" s="444">
        <f t="shared" si="37"/>
        <v>0</v>
      </c>
      <c r="S65" s="444"/>
      <c r="T65" s="410">
        <f t="shared" si="35"/>
        <v>0</v>
      </c>
      <c r="U65" s="411" t="e">
        <f t="shared" si="36"/>
        <v>#DIV/0!</v>
      </c>
    </row>
    <row r="66" spans="1:23" ht="12.75" hidden="1" customHeight="1">
      <c r="A66" s="413" t="str">
        <f>A$10</f>
        <v>Publiskās attiecināmās izmaksas</v>
      </c>
      <c r="B66" s="311">
        <f>SUM(B61:B65)</f>
        <v>0</v>
      </c>
      <c r="C66" s="311"/>
      <c r="D66" s="311">
        <f>SUM(D61:D65)</f>
        <v>0</v>
      </c>
      <c r="E66" s="311"/>
      <c r="F66" s="311">
        <f t="shared" ref="F66:R66" si="38">SUM(F61:F65)</f>
        <v>0</v>
      </c>
      <c r="G66" s="311"/>
      <c r="H66" s="311">
        <f t="shared" si="38"/>
        <v>0</v>
      </c>
      <c r="I66" s="311"/>
      <c r="J66" s="311">
        <f t="shared" si="38"/>
        <v>0</v>
      </c>
      <c r="K66" s="311"/>
      <c r="L66" s="311">
        <f t="shared" si="38"/>
        <v>0</v>
      </c>
      <c r="M66" s="311"/>
      <c r="N66" s="311">
        <f t="shared" si="38"/>
        <v>0</v>
      </c>
      <c r="O66" s="311"/>
      <c r="P66" s="311">
        <f t="shared" si="38"/>
        <v>0</v>
      </c>
      <c r="Q66" s="311"/>
      <c r="R66" s="311">
        <f t="shared" si="38"/>
        <v>0</v>
      </c>
      <c r="S66" s="311"/>
      <c r="T66" s="414">
        <f>SUM(B66:R66)</f>
        <v>0</v>
      </c>
      <c r="U66" s="411" t="e">
        <f t="shared" si="36"/>
        <v>#DIV/0!</v>
      </c>
    </row>
    <row r="67" spans="1:23" ht="12.75" hidden="1" customHeight="1">
      <c r="A67" s="412" t="str">
        <f>A$11</f>
        <v>Privātās attiecināmās izmaksas</v>
      </c>
      <c r="B67" s="444">
        <f>B68-B66</f>
        <v>0</v>
      </c>
      <c r="C67" s="444"/>
      <c r="D67" s="444">
        <f t="shared" ref="D67:R67" si="39">D68-D66</f>
        <v>0</v>
      </c>
      <c r="E67" s="444"/>
      <c r="F67" s="444">
        <f t="shared" si="39"/>
        <v>0</v>
      </c>
      <c r="G67" s="444"/>
      <c r="H67" s="444">
        <f t="shared" si="39"/>
        <v>0</v>
      </c>
      <c r="I67" s="444"/>
      <c r="J67" s="444">
        <f t="shared" si="39"/>
        <v>0</v>
      </c>
      <c r="K67" s="444"/>
      <c r="L67" s="444">
        <f t="shared" si="39"/>
        <v>0</v>
      </c>
      <c r="M67" s="444"/>
      <c r="N67" s="444">
        <f t="shared" si="39"/>
        <v>0</v>
      </c>
      <c r="O67" s="444"/>
      <c r="P67" s="444">
        <f t="shared" si="39"/>
        <v>0</v>
      </c>
      <c r="Q67" s="444"/>
      <c r="R67" s="444">
        <f t="shared" si="39"/>
        <v>0</v>
      </c>
      <c r="S67" s="444"/>
      <c r="T67" s="410">
        <f t="shared" si="35"/>
        <v>0</v>
      </c>
      <c r="U67" s="411" t="e">
        <f t="shared" si="36"/>
        <v>#DIV/0!</v>
      </c>
    </row>
    <row r="68" spans="1:23" ht="12.75" hidden="1" customHeight="1">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6"/>
        <v>#DIV/0!</v>
      </c>
    </row>
    <row r="69" spans="1:23" ht="12.75" hidden="1" customHeight="1">
      <c r="A69" s="412" t="str">
        <f>A$13</f>
        <v>Publiskās ārpusprojekta izmaksas</v>
      </c>
      <c r="B69" s="446"/>
      <c r="C69" s="446"/>
      <c r="D69" s="446"/>
      <c r="E69" s="446"/>
      <c r="F69" s="446"/>
      <c r="G69" s="446"/>
      <c r="H69" s="446"/>
      <c r="I69" s="446"/>
      <c r="J69" s="446"/>
      <c r="K69" s="446"/>
      <c r="L69" s="446"/>
      <c r="M69" s="446"/>
      <c r="N69" s="446"/>
      <c r="O69" s="446"/>
      <c r="P69" s="446"/>
      <c r="Q69" s="446"/>
      <c r="R69" s="446"/>
      <c r="S69" s="446"/>
      <c r="T69" s="410">
        <f t="shared" ref="T69:T71" si="40">SUM(B69:R69)</f>
        <v>0</v>
      </c>
      <c r="U69" s="445" t="s">
        <v>318</v>
      </c>
    </row>
    <row r="70" spans="1:23" ht="12.75" hidden="1" customHeight="1">
      <c r="A70" s="412" t="str">
        <f>A$14</f>
        <v>Privātās ārpusprojekta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40"/>
        <v>0</v>
      </c>
      <c r="U70" s="445" t="s">
        <v>318</v>
      </c>
    </row>
    <row r="71" spans="1:23" ht="12.75" hidden="1" customHeight="1">
      <c r="A71" s="413" t="str">
        <f>A$15</f>
        <v>Ārpusprojekta izmaksas kopā</v>
      </c>
      <c r="B71" s="311">
        <f>SUM(B69:B70)</f>
        <v>0</v>
      </c>
      <c r="C71" s="311"/>
      <c r="D71" s="311">
        <f t="shared" ref="D71:R71" si="41">SUM(D69:D70)</f>
        <v>0</v>
      </c>
      <c r="E71" s="311"/>
      <c r="F71" s="311">
        <f t="shared" si="41"/>
        <v>0</v>
      </c>
      <c r="G71" s="311"/>
      <c r="H71" s="311">
        <f t="shared" si="41"/>
        <v>0</v>
      </c>
      <c r="I71" s="311"/>
      <c r="J71" s="311">
        <f t="shared" si="41"/>
        <v>0</v>
      </c>
      <c r="K71" s="311"/>
      <c r="L71" s="311">
        <f t="shared" si="41"/>
        <v>0</v>
      </c>
      <c r="M71" s="311"/>
      <c r="N71" s="311">
        <f t="shared" si="41"/>
        <v>0</v>
      </c>
      <c r="O71" s="311"/>
      <c r="P71" s="311">
        <f t="shared" si="41"/>
        <v>0</v>
      </c>
      <c r="Q71" s="311"/>
      <c r="R71" s="311">
        <f t="shared" si="41"/>
        <v>0</v>
      </c>
      <c r="S71" s="311"/>
      <c r="T71" s="414">
        <f t="shared" si="40"/>
        <v>0</v>
      </c>
      <c r="U71" s="445" t="s">
        <v>318</v>
      </c>
    </row>
    <row r="72" spans="1:23" ht="12.75" hidden="1" customHeight="1">
      <c r="A72" s="418" t="str">
        <f>A$16</f>
        <v>Kopējās izmaksas</v>
      </c>
      <c r="B72" s="419">
        <f>B68+B71</f>
        <v>0</v>
      </c>
      <c r="C72" s="419"/>
      <c r="D72" s="419">
        <f t="shared" ref="D72:R72" si="42">D68+D71</f>
        <v>0</v>
      </c>
      <c r="E72" s="419"/>
      <c r="F72" s="419">
        <f t="shared" si="42"/>
        <v>0</v>
      </c>
      <c r="G72" s="419"/>
      <c r="H72" s="419">
        <f t="shared" si="42"/>
        <v>0</v>
      </c>
      <c r="I72" s="419"/>
      <c r="J72" s="419">
        <f t="shared" si="42"/>
        <v>0</v>
      </c>
      <c r="K72" s="419"/>
      <c r="L72" s="419">
        <f t="shared" si="42"/>
        <v>0</v>
      </c>
      <c r="M72" s="419"/>
      <c r="N72" s="419">
        <f t="shared" si="42"/>
        <v>0</v>
      </c>
      <c r="O72" s="419"/>
      <c r="P72" s="419">
        <f t="shared" si="42"/>
        <v>0</v>
      </c>
      <c r="Q72" s="419"/>
      <c r="R72" s="419">
        <f t="shared" si="42"/>
        <v>0</v>
      </c>
      <c r="S72" s="419"/>
      <c r="T72" s="414">
        <f>SUM(B72:R72)</f>
        <v>0</v>
      </c>
      <c r="U72" s="445" t="s">
        <v>318</v>
      </c>
    </row>
    <row r="73" spans="1:23" ht="12.75" customHeight="1">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c r="A74" s="434" t="s">
        <v>99</v>
      </c>
      <c r="B74" s="435">
        <f>'Dati par projektu'!$C$4</f>
        <v>0</v>
      </c>
      <c r="C74" s="436"/>
      <c r="D74" s="436"/>
      <c r="E74" s="436"/>
      <c r="F74" s="435" t="str">
        <f>'Dati par projektu'!$C$5</f>
        <v>Kapitālsabiedrība</v>
      </c>
      <c r="G74" s="436"/>
      <c r="H74" s="437"/>
      <c r="I74" s="436"/>
      <c r="J74" s="437" t="s">
        <v>325</v>
      </c>
      <c r="K74" s="436"/>
      <c r="L74" s="439">
        <f>'[2]1.1.C. Iesniedzējs'!C22</f>
        <v>0.85</v>
      </c>
      <c r="M74" s="436"/>
      <c r="N74" s="440" t="s">
        <v>329</v>
      </c>
      <c r="O74" s="436"/>
      <c r="P74" s="437"/>
      <c r="Q74" s="436"/>
      <c r="R74" s="437"/>
      <c r="S74" s="436"/>
      <c r="T74" s="437"/>
      <c r="U74" s="437"/>
      <c r="W74" s="4">
        <f>IF(F74=Dati!$J$3,1,IF(F74=Dati!$J$4,2,IF(F74=Dati!$J$5,3,0)))</f>
        <v>3</v>
      </c>
    </row>
    <row r="75" spans="1:23">
      <c r="A75" s="406" t="s">
        <v>310</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c r="A76" s="441"/>
      <c r="B76" s="408" t="s">
        <v>311</v>
      </c>
      <c r="C76" s="408"/>
      <c r="D76" s="408" t="s">
        <v>311</v>
      </c>
      <c r="E76" s="408"/>
      <c r="F76" s="408" t="s">
        <v>311</v>
      </c>
      <c r="G76" s="408"/>
      <c r="H76" s="408" t="s">
        <v>311</v>
      </c>
      <c r="I76" s="408"/>
      <c r="J76" s="408" t="s">
        <v>311</v>
      </c>
      <c r="K76" s="408"/>
      <c r="L76" s="408" t="s">
        <v>311</v>
      </c>
      <c r="M76" s="408"/>
      <c r="N76" s="408" t="s">
        <v>311</v>
      </c>
      <c r="O76" s="408"/>
      <c r="P76" s="408" t="s">
        <v>311</v>
      </c>
      <c r="Q76" s="408"/>
      <c r="R76" s="408" t="s">
        <v>311</v>
      </c>
      <c r="S76" s="408"/>
      <c r="T76" s="408" t="s">
        <v>190</v>
      </c>
      <c r="U76" s="408" t="s">
        <v>134</v>
      </c>
    </row>
    <row r="77" spans="1:23" ht="12.75" customHeight="1">
      <c r="A77" s="442" t="str">
        <f>A$5</f>
        <v>Eiropas Reģionālās attīstības fonds</v>
      </c>
      <c r="B77" s="443">
        <f>((B84-B83)*$L$74)*$W$19</f>
        <v>532100</v>
      </c>
      <c r="C77" s="443"/>
      <c r="D77" s="443">
        <f>((D84-D83)*$L$74)*$W$19</f>
        <v>22100</v>
      </c>
      <c r="E77" s="443"/>
      <c r="F77" s="443">
        <f>((F84-F83)*$L$74)*$W$19</f>
        <v>0</v>
      </c>
      <c r="G77" s="443"/>
      <c r="H77" s="443">
        <f>((H84-H83)*$L$74)*$W$19</f>
        <v>0</v>
      </c>
      <c r="I77" s="443"/>
      <c r="J77" s="443">
        <f>((J84-J83)*$L$74)*$W$19</f>
        <v>0</v>
      </c>
      <c r="K77" s="443"/>
      <c r="L77" s="443">
        <f>((L84-L83)*$L$74)*$W$19</f>
        <v>0</v>
      </c>
      <c r="M77" s="443"/>
      <c r="N77" s="443">
        <f>((N84-N83)*$L$74)*$W$19</f>
        <v>0</v>
      </c>
      <c r="O77" s="443"/>
      <c r="P77" s="443">
        <f>((P84-P83)*$L$74)*$W$19</f>
        <v>0</v>
      </c>
      <c r="Q77" s="443"/>
      <c r="R77" s="443">
        <f>((R84-R83)*$L$74)*$W$19</f>
        <v>0</v>
      </c>
      <c r="S77" s="443"/>
      <c r="T77" s="410">
        <f t="shared" ref="T77:T83" si="43">SUM(B77:R77)</f>
        <v>554200</v>
      </c>
      <c r="U77" s="411">
        <f>T77/$T$84</f>
        <v>0.42499999999999999</v>
      </c>
    </row>
    <row r="78" spans="1:23" ht="12.75" customHeight="1">
      <c r="A78" s="412" t="str">
        <f>A$6</f>
        <v>Attiecināmais valsts budžeta finansējums</v>
      </c>
      <c r="B78" s="443">
        <f>IF($W74=3,B84-B83-B77,0)</f>
        <v>93900</v>
      </c>
      <c r="C78" s="443"/>
      <c r="D78" s="443">
        <f>IF($W74=3,D84-D83-D77,0)</f>
        <v>3900</v>
      </c>
      <c r="E78" s="443"/>
      <c r="F78" s="443">
        <f>IF($W74=3,F84-F83-F77,0)</f>
        <v>0</v>
      </c>
      <c r="G78" s="443"/>
      <c r="H78" s="443">
        <f>IF($W74=3,H84-H83-H77,0)</f>
        <v>0</v>
      </c>
      <c r="I78" s="443"/>
      <c r="J78" s="443">
        <f>IF($W74=3,J84-J83-J77,0)</f>
        <v>0</v>
      </c>
      <c r="K78" s="443"/>
      <c r="L78" s="443">
        <f>IF($W74=3,L84-L83-L77,0)</f>
        <v>0</v>
      </c>
      <c r="M78" s="443"/>
      <c r="N78" s="443">
        <f>IF($W74=3,N84-N83-N77,0)</f>
        <v>0</v>
      </c>
      <c r="O78" s="443"/>
      <c r="P78" s="443">
        <f>IF($W74=3,P84-P83-P77,0)</f>
        <v>0</v>
      </c>
      <c r="Q78" s="443"/>
      <c r="R78" s="443">
        <f>IF($W74=3,R84-R83-R77,0)</f>
        <v>0</v>
      </c>
      <c r="S78" s="443"/>
      <c r="T78" s="410">
        <f t="shared" si="43"/>
        <v>97800</v>
      </c>
      <c r="U78" s="411">
        <f t="shared" ref="U78:U84" si="44">T78/$T$84</f>
        <v>7.4999999999999997E-2</v>
      </c>
    </row>
    <row r="79" spans="1:23" ht="12.75" hidden="1" customHeight="1">
      <c r="A79" s="412" t="str">
        <f>A$7</f>
        <v>Valsts budžeta dotācija pašvaldībām</v>
      </c>
      <c r="B79" s="444"/>
      <c r="C79" s="444"/>
      <c r="D79" s="444"/>
      <c r="E79" s="444"/>
      <c r="F79" s="444"/>
      <c r="G79" s="444"/>
      <c r="H79" s="444"/>
      <c r="I79" s="444"/>
      <c r="J79" s="444"/>
      <c r="K79" s="444"/>
      <c r="L79" s="444"/>
      <c r="M79" s="444"/>
      <c r="N79" s="444"/>
      <c r="O79" s="444"/>
      <c r="P79" s="444"/>
      <c r="Q79" s="444"/>
      <c r="R79" s="444"/>
      <c r="S79" s="444"/>
      <c r="T79" s="410"/>
      <c r="U79" s="411"/>
    </row>
    <row r="80" spans="1:23" ht="12.75" hidden="1" customHeight="1">
      <c r="A80" s="412" t="str">
        <f>A$8</f>
        <v>Pašvaldības finansējums</v>
      </c>
      <c r="B80" s="444"/>
      <c r="C80" s="444"/>
      <c r="D80" s="444"/>
      <c r="E80" s="444"/>
      <c r="F80" s="444"/>
      <c r="G80" s="444"/>
      <c r="H80" s="444"/>
      <c r="I80" s="444"/>
      <c r="J80" s="444"/>
      <c r="K80" s="444"/>
      <c r="L80" s="444"/>
      <c r="M80" s="444"/>
      <c r="N80" s="444"/>
      <c r="O80" s="444"/>
      <c r="P80" s="444"/>
      <c r="Q80" s="444"/>
      <c r="R80" s="444"/>
      <c r="S80" s="444"/>
      <c r="T80" s="410"/>
      <c r="U80" s="411"/>
    </row>
    <row r="81" spans="1:23" s="3" customFormat="1" ht="12.75" hidden="1" customHeight="1">
      <c r="A81" s="412" t="str">
        <f>A$9</f>
        <v xml:space="preserve">Elastības finansējuma apjoms </v>
      </c>
      <c r="B81" s="444"/>
      <c r="C81" s="444"/>
      <c r="D81" s="444"/>
      <c r="E81" s="444"/>
      <c r="F81" s="444"/>
      <c r="G81" s="444"/>
      <c r="H81" s="444"/>
      <c r="I81" s="444"/>
      <c r="J81" s="444"/>
      <c r="K81" s="444"/>
      <c r="L81" s="444"/>
      <c r="M81" s="444"/>
      <c r="N81" s="444"/>
      <c r="O81" s="444"/>
      <c r="P81" s="444"/>
      <c r="Q81" s="444"/>
      <c r="R81" s="444"/>
      <c r="S81" s="444"/>
      <c r="T81" s="410"/>
      <c r="U81" s="411"/>
    </row>
    <row r="82" spans="1:23" ht="12.75" customHeight="1">
      <c r="A82" s="413" t="str">
        <f>A$10</f>
        <v>Publiskās attiecināmās izmaksas</v>
      </c>
      <c r="B82" s="311">
        <f>SUM(B77:B81)</f>
        <v>626000</v>
      </c>
      <c r="C82" s="311"/>
      <c r="D82" s="311">
        <f t="shared" ref="D82:R82" si="45">SUM(D77:D81)</f>
        <v>26000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3"/>
        <v>652000</v>
      </c>
      <c r="U82" s="411">
        <f t="shared" si="44"/>
        <v>0.5</v>
      </c>
    </row>
    <row r="83" spans="1:23" ht="12.75" customHeight="1">
      <c r="A83" s="412" t="str">
        <f>A$11</f>
        <v>Privātās attiecināmās izmaksas</v>
      </c>
      <c r="B83" s="444">
        <f>B84*(1-$B$20)</f>
        <v>626000</v>
      </c>
      <c r="C83" s="444"/>
      <c r="D83" s="444">
        <f>D84*(1-$B$20)</f>
        <v>26000</v>
      </c>
      <c r="E83" s="444"/>
      <c r="F83" s="444">
        <f>F84*(1-$B$20)</f>
        <v>0</v>
      </c>
      <c r="G83" s="444"/>
      <c r="H83" s="444">
        <f>H84*(1-$B$20)</f>
        <v>0</v>
      </c>
      <c r="I83" s="444"/>
      <c r="J83" s="444">
        <f>J84*(1-$B$20)</f>
        <v>0</v>
      </c>
      <c r="K83" s="444"/>
      <c r="L83" s="444">
        <f>L84*(1-$B$20)</f>
        <v>0</v>
      </c>
      <c r="M83" s="444"/>
      <c r="N83" s="444">
        <f>N84*(1-$B$20)</f>
        <v>0</v>
      </c>
      <c r="O83" s="444"/>
      <c r="P83" s="444">
        <f>P84*(1-$B$20)</f>
        <v>0</v>
      </c>
      <c r="Q83" s="444"/>
      <c r="R83" s="444">
        <f>R84*(1-$B$20)</f>
        <v>0</v>
      </c>
      <c r="S83" s="444"/>
      <c r="T83" s="410">
        <f t="shared" si="43"/>
        <v>652000</v>
      </c>
      <c r="U83" s="411">
        <f t="shared" si="44"/>
        <v>0.5</v>
      </c>
    </row>
    <row r="84" spans="1:23" ht="12.75" customHeight="1">
      <c r="A84" s="413" t="str">
        <f>A$12</f>
        <v>Kopējās attiecināmās izmaksas</v>
      </c>
      <c r="B84" s="311">
        <f>IF(B23=2,'1.1.C. Iesniedzējs'!H24,'1.1.C. Iesniedzējs'!H24*B23)</f>
        <v>1252000</v>
      </c>
      <c r="C84" s="311"/>
      <c r="D84" s="311">
        <f>IF(D23=2,'1.1.C. Iesniedzējs'!J24+'1.1.C. Iesniedzējs'!H24,'1.1.C. Iesniedzējs'!J24*D23)</f>
        <v>52000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1304000</v>
      </c>
      <c r="U84" s="411">
        <f t="shared" si="44"/>
        <v>1</v>
      </c>
    </row>
    <row r="85" spans="1:23" ht="12.75" hidden="1" customHeight="1">
      <c r="A85" s="412" t="str">
        <f>A$13</f>
        <v>Publiskās ārpusprojekta izmaksas</v>
      </c>
      <c r="B85" s="444"/>
      <c r="C85" s="444"/>
      <c r="D85" s="444"/>
      <c r="E85" s="444"/>
      <c r="F85" s="444"/>
      <c r="G85" s="444"/>
      <c r="H85" s="444"/>
      <c r="I85" s="444"/>
      <c r="J85" s="444"/>
      <c r="K85" s="444"/>
      <c r="L85" s="444"/>
      <c r="M85" s="444"/>
      <c r="N85" s="444"/>
      <c r="O85" s="444"/>
      <c r="P85" s="444"/>
      <c r="Q85" s="444"/>
      <c r="R85" s="444"/>
      <c r="S85" s="444"/>
      <c r="T85" s="410"/>
      <c r="U85" s="445" t="s">
        <v>318</v>
      </c>
    </row>
    <row r="86" spans="1:23" ht="12.75" customHeight="1">
      <c r="A86" s="412" t="str">
        <f>A$14</f>
        <v>Privātās ārpusprojekta izmaksas</v>
      </c>
      <c r="B86" s="444">
        <f>IF($W74=3,IF(B23=2,'1.1.C. Iesniedzējs'!I24,'1.1.C. Iesniedzējs'!I24*B23),0)</f>
        <v>0</v>
      </c>
      <c r="C86" s="444"/>
      <c r="D86" s="444">
        <f>IF($W74=3,IF(D23=2,'1.1.C. Iesniedzējs'!K24,'1.1.C. Iesniedzējs'!K24*D23),0)</f>
        <v>0</v>
      </c>
      <c r="E86" s="444"/>
      <c r="F86" s="444">
        <f>IF($W74=3,IF(F23=2,'1.1.C. Iesniedzējs'!M24,'1.1.C. Iesniedzējs'!M24*F23),0)</f>
        <v>0</v>
      </c>
      <c r="G86" s="444"/>
      <c r="H86" s="444">
        <f>IF($W74=3,IF(H23=2,'1.1.C. Iesniedzējs'!O24,'1.1.C. Iesniedzējs'!O24*H23),0)</f>
        <v>0</v>
      </c>
      <c r="I86" s="444"/>
      <c r="J86" s="444">
        <f>IF($W74=3,IF(J23=2,'1.1.C. Iesniedzējs'!Q24,'1.1.C. Iesniedzējs'!Q24*J23),0)</f>
        <v>0</v>
      </c>
      <c r="K86" s="444"/>
      <c r="L86" s="444">
        <f>IF($W74=3,IF(L23=2,'1.1.C. Iesniedzējs'!S24,'1.1.C. Iesniedzējs'!S24*L23),0)</f>
        <v>0</v>
      </c>
      <c r="M86" s="444"/>
      <c r="N86" s="444">
        <f>IF($W74=3,IF(N23=2,'1.1.C. Iesniedzējs'!U24,'1.1.C. Iesniedzējs'!U24*N23),0)</f>
        <v>0</v>
      </c>
      <c r="O86" s="444"/>
      <c r="P86" s="444">
        <f>IF($W74=3,IF(P23=2,'1.1.C. Iesniedzējs'!W24,'1.1.C. Iesniedzējs'!W24*P23),0)</f>
        <v>0</v>
      </c>
      <c r="Q86" s="444"/>
      <c r="R86" s="444">
        <f>IF($W74=3,IF(R23=2,'1.1.C. Iesniedzējs'!Y24,'1.1.C. Iesniedzējs'!Y24*R23),0)</f>
        <v>0</v>
      </c>
      <c r="S86" s="444"/>
      <c r="T86" s="410">
        <f t="shared" ref="T85:T87" si="46">SUM(B86:R86)</f>
        <v>0</v>
      </c>
      <c r="U86" s="445" t="s">
        <v>318</v>
      </c>
    </row>
    <row r="87" spans="1:23" ht="12.75" customHeight="1">
      <c r="A87" s="413" t="str">
        <f>A$15</f>
        <v>Ārpusprojekta izmaksas kopā</v>
      </c>
      <c r="B87" s="311">
        <f>SUM(B85:B86)</f>
        <v>0</v>
      </c>
      <c r="C87" s="311"/>
      <c r="D87" s="311">
        <f>SUM(D85:D86)</f>
        <v>0</v>
      </c>
      <c r="E87" s="311"/>
      <c r="F87" s="311">
        <f>SUM(F85:F86)</f>
        <v>0</v>
      </c>
      <c r="G87" s="311"/>
      <c r="H87" s="311">
        <f>SUM(H85:H86)</f>
        <v>0</v>
      </c>
      <c r="I87" s="311"/>
      <c r="J87" s="311">
        <f>SUM(J85:J86)</f>
        <v>0</v>
      </c>
      <c r="K87" s="311"/>
      <c r="L87" s="311">
        <f>SUM(L85:L86)</f>
        <v>0</v>
      </c>
      <c r="M87" s="311"/>
      <c r="N87" s="311">
        <f>SUM(N85:N86)</f>
        <v>0</v>
      </c>
      <c r="O87" s="311"/>
      <c r="P87" s="311">
        <f>SUM(P85:P86)</f>
        <v>0</v>
      </c>
      <c r="Q87" s="311"/>
      <c r="R87" s="311">
        <f>SUM(R85:R86)</f>
        <v>0</v>
      </c>
      <c r="S87" s="311"/>
      <c r="T87" s="414">
        <f t="shared" si="46"/>
        <v>0</v>
      </c>
      <c r="U87" s="445" t="s">
        <v>318</v>
      </c>
    </row>
    <row r="88" spans="1:23" ht="12.75" customHeight="1">
      <c r="A88" s="418" t="str">
        <f>A$16</f>
        <v>Kopējās izmaksas</v>
      </c>
      <c r="B88" s="419">
        <f>B84+B87</f>
        <v>1252000</v>
      </c>
      <c r="C88" s="419"/>
      <c r="D88" s="419">
        <f>D84+D87</f>
        <v>52000</v>
      </c>
      <c r="E88" s="419"/>
      <c r="F88" s="419">
        <f>F84+F87</f>
        <v>0</v>
      </c>
      <c r="G88" s="419"/>
      <c r="H88" s="419">
        <f>H84+H87</f>
        <v>0</v>
      </c>
      <c r="I88" s="419"/>
      <c r="J88" s="419">
        <f>J84+J87</f>
        <v>0</v>
      </c>
      <c r="K88" s="419"/>
      <c r="L88" s="419">
        <f>L84+L87</f>
        <v>0</v>
      </c>
      <c r="M88" s="419"/>
      <c r="N88" s="419">
        <f>N84+N87</f>
        <v>0</v>
      </c>
      <c r="O88" s="419"/>
      <c r="P88" s="419">
        <f>P84+P87</f>
        <v>0</v>
      </c>
      <c r="Q88" s="419"/>
      <c r="R88" s="419">
        <f>R84+R87</f>
        <v>0</v>
      </c>
      <c r="S88" s="419"/>
      <c r="T88" s="414">
        <f>SUM(B88:R88)</f>
        <v>1304000</v>
      </c>
      <c r="U88" s="445" t="s">
        <v>318</v>
      </c>
    </row>
    <row r="89" spans="1:23" ht="12.75" customHeight="1">
      <c r="A89" s="432"/>
      <c r="B89" s="432"/>
      <c r="C89" s="432"/>
      <c r="D89" s="432"/>
      <c r="E89" s="432"/>
      <c r="F89" s="432"/>
      <c r="G89" s="432"/>
      <c r="H89" s="432"/>
      <c r="I89" s="432"/>
      <c r="J89" s="432"/>
      <c r="K89" s="432"/>
      <c r="L89" s="432"/>
      <c r="M89" s="432"/>
      <c r="N89" s="432"/>
      <c r="O89" s="432"/>
      <c r="P89" s="432"/>
      <c r="Q89" s="432"/>
      <c r="R89" s="432"/>
      <c r="S89" s="432"/>
      <c r="T89" s="432"/>
      <c r="U89" s="432"/>
    </row>
    <row r="90" spans="1:23" ht="24" hidden="1" customHeight="1">
      <c r="A90" s="447" t="s">
        <v>330</v>
      </c>
      <c r="B90" s="435">
        <f>'1.2.1.A. Partneris-1'!C3</f>
        <v>0</v>
      </c>
      <c r="C90" s="436"/>
      <c r="D90" s="436"/>
      <c r="E90" s="436"/>
      <c r="F90" s="435">
        <f>'1.2.1.A. Partneris-1'!H3</f>
        <v>0</v>
      </c>
      <c r="G90" s="436"/>
      <c r="H90" s="437"/>
      <c r="I90" s="436"/>
      <c r="J90" s="437" t="s">
        <v>325</v>
      </c>
      <c r="K90" s="436"/>
      <c r="L90" s="439">
        <f>'1.2.1.A. Partneris-1'!C24</f>
        <v>0.85</v>
      </c>
      <c r="M90" s="436"/>
      <c r="N90" s="440" t="s">
        <v>331</v>
      </c>
      <c r="O90" s="436"/>
      <c r="P90" s="437"/>
      <c r="Q90" s="436"/>
      <c r="R90" s="437"/>
      <c r="S90" s="436"/>
      <c r="T90" s="437"/>
      <c r="U90" s="437"/>
      <c r="W90" s="4">
        <f>IF(F90=Dati!$J$3,1,IF(F90=Dati!$J$4,2,IF(F90=Dati!$J$5,3,0)))</f>
        <v>0</v>
      </c>
    </row>
    <row r="91" spans="1:23" hidden="1">
      <c r="A91" s="406" t="s">
        <v>310</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hidden="1">
      <c r="A92" s="441"/>
      <c r="B92" s="408" t="s">
        <v>311</v>
      </c>
      <c r="C92" s="408"/>
      <c r="D92" s="408" t="s">
        <v>311</v>
      </c>
      <c r="E92" s="408"/>
      <c r="F92" s="408" t="s">
        <v>311</v>
      </c>
      <c r="G92" s="408"/>
      <c r="H92" s="408" t="s">
        <v>311</v>
      </c>
      <c r="I92" s="408"/>
      <c r="J92" s="408" t="s">
        <v>311</v>
      </c>
      <c r="K92" s="408"/>
      <c r="L92" s="408" t="s">
        <v>311</v>
      </c>
      <c r="M92" s="408"/>
      <c r="N92" s="408" t="s">
        <v>311</v>
      </c>
      <c r="O92" s="408"/>
      <c r="P92" s="408" t="s">
        <v>311</v>
      </c>
      <c r="Q92" s="408"/>
      <c r="R92" s="408" t="s">
        <v>311</v>
      </c>
      <c r="S92" s="408"/>
      <c r="T92" s="408" t="s">
        <v>190</v>
      </c>
      <c r="U92" s="408" t="s">
        <v>134</v>
      </c>
    </row>
    <row r="93" spans="1:23" ht="12.75" hidden="1" customHeight="1">
      <c r="A93" s="442" t="str">
        <f>A$5</f>
        <v>Eiropas Reģionālās attīstības fonds</v>
      </c>
      <c r="B93" s="443">
        <f>(B100*$L$90)*$W$19-B97</f>
        <v>0</v>
      </c>
      <c r="C93" s="443"/>
      <c r="D93" s="443">
        <f t="shared" ref="D93:P93" si="47">(D100*$L$90)*$W$19-D97</f>
        <v>0</v>
      </c>
      <c r="E93" s="443"/>
      <c r="F93" s="443">
        <f t="shared" si="47"/>
        <v>0</v>
      </c>
      <c r="G93" s="443"/>
      <c r="H93" s="443">
        <f t="shared" si="47"/>
        <v>0</v>
      </c>
      <c r="I93" s="443"/>
      <c r="J93" s="443">
        <f t="shared" si="47"/>
        <v>0</v>
      </c>
      <c r="K93" s="443"/>
      <c r="L93" s="443">
        <f t="shared" si="47"/>
        <v>0</v>
      </c>
      <c r="M93" s="443"/>
      <c r="N93" s="443">
        <f t="shared" si="47"/>
        <v>0</v>
      </c>
      <c r="O93" s="443"/>
      <c r="P93" s="443">
        <f t="shared" si="47"/>
        <v>0</v>
      </c>
      <c r="Q93" s="443"/>
      <c r="R93" s="443">
        <f t="shared" ref="R93" si="48">(R100*$L$90-R97)*$W$19</f>
        <v>0</v>
      </c>
      <c r="S93" s="443"/>
      <c r="T93" s="410">
        <f t="shared" ref="T93:T100" si="49">SUM(B93:R93)</f>
        <v>0</v>
      </c>
      <c r="U93" s="411" t="e">
        <f>T93/$T$100</f>
        <v>#DIV/0!</v>
      </c>
    </row>
    <row r="94" spans="1:23" ht="12.75" hidden="1" customHeight="1">
      <c r="A94" s="412" t="str">
        <f>A$6</f>
        <v>Attiecināmais valsts budžeta finansējums</v>
      </c>
      <c r="B94" s="443">
        <f>IF($W90=2,B100-B93-B97,0)</f>
        <v>0</v>
      </c>
      <c r="C94" s="443"/>
      <c r="D94" s="443">
        <f t="shared" ref="D94" si="50">IF($W90=2,D100-D93-D97,0)</f>
        <v>0</v>
      </c>
      <c r="E94" s="443"/>
      <c r="F94" s="443">
        <f t="shared" ref="F94" si="51">IF($W90=2,F100-F93-F97,0)</f>
        <v>0</v>
      </c>
      <c r="G94" s="443"/>
      <c r="H94" s="443">
        <f t="shared" ref="H94" si="52">IF($W90=2,H100-H93-H97,0)</f>
        <v>0</v>
      </c>
      <c r="I94" s="443"/>
      <c r="J94" s="443">
        <f t="shared" ref="J94" si="53">IF($W90=2,J100-J93-J97,0)</f>
        <v>0</v>
      </c>
      <c r="K94" s="443"/>
      <c r="L94" s="443">
        <f t="shared" ref="L94" si="54">IF($W90=2,L100-L93-L97,0)</f>
        <v>0</v>
      </c>
      <c r="M94" s="443"/>
      <c r="N94" s="443">
        <f t="shared" ref="N94" si="55">IF($W90=2,N100-N93-N97,0)</f>
        <v>0</v>
      </c>
      <c r="O94" s="443"/>
      <c r="P94" s="443">
        <f t="shared" ref="P94" si="56">IF($W90=2,P100-P93-P97,0)</f>
        <v>0</v>
      </c>
      <c r="Q94" s="443"/>
      <c r="R94" s="443">
        <f t="shared" ref="R94" si="57">IF($W90=2,R100-R93-R97,0)</f>
        <v>0</v>
      </c>
      <c r="S94" s="443"/>
      <c r="T94" s="410">
        <f t="shared" si="49"/>
        <v>0</v>
      </c>
      <c r="U94" s="411" t="e">
        <f t="shared" ref="U94:U100" si="58">T94/$T$100</f>
        <v>#DIV/0!</v>
      </c>
    </row>
    <row r="95" spans="1:23" ht="12.75" hidden="1" customHeight="1">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49"/>
        <v>0</v>
      </c>
      <c r="U95" s="411" t="e">
        <f t="shared" si="58"/>
        <v>#DIV/0!</v>
      </c>
    </row>
    <row r="96" spans="1:23" ht="12.75" hidden="1" customHeight="1">
      <c r="A96" s="412" t="str">
        <f>A$8</f>
        <v>Pašvaldības finansējums</v>
      </c>
      <c r="B96" s="444">
        <f>IF($W90=1,B100-B93-B95-B97,0)</f>
        <v>0</v>
      </c>
      <c r="C96" s="444"/>
      <c r="D96" s="444">
        <f t="shared" ref="D96:R96" si="59">IF($W90=1,D100-D93-D95-D97,0)</f>
        <v>0</v>
      </c>
      <c r="E96" s="444"/>
      <c r="F96" s="444">
        <f t="shared" si="59"/>
        <v>0</v>
      </c>
      <c r="G96" s="444"/>
      <c r="H96" s="444">
        <f t="shared" si="59"/>
        <v>0</v>
      </c>
      <c r="I96" s="444"/>
      <c r="J96" s="444">
        <f t="shared" si="59"/>
        <v>0</v>
      </c>
      <c r="K96" s="444"/>
      <c r="L96" s="444">
        <f t="shared" si="59"/>
        <v>0</v>
      </c>
      <c r="M96" s="444"/>
      <c r="N96" s="444">
        <f t="shared" si="59"/>
        <v>0</v>
      </c>
      <c r="O96" s="444"/>
      <c r="P96" s="444">
        <f t="shared" si="59"/>
        <v>0</v>
      </c>
      <c r="Q96" s="444"/>
      <c r="R96" s="444">
        <f t="shared" si="59"/>
        <v>0</v>
      </c>
      <c r="S96" s="444"/>
      <c r="T96" s="410">
        <f t="shared" si="49"/>
        <v>0</v>
      </c>
      <c r="U96" s="411" t="e">
        <f t="shared" si="58"/>
        <v>#DIV/0!</v>
      </c>
    </row>
    <row r="97" spans="1:23" s="3" customFormat="1" ht="12.75" hidden="1" customHeight="1">
      <c r="A97" s="412" t="str">
        <f>A$9</f>
        <v xml:space="preserve">Elastības finansējuma apjoms </v>
      </c>
      <c r="B97" s="444">
        <f>B100*$W$20*$L$90</f>
        <v>0</v>
      </c>
      <c r="C97" s="444"/>
      <c r="D97" s="444">
        <f t="shared" ref="D97:R97" si="60">D100*$W$20*$L$90</f>
        <v>0</v>
      </c>
      <c r="E97" s="444"/>
      <c r="F97" s="444">
        <f t="shared" si="60"/>
        <v>0</v>
      </c>
      <c r="G97" s="444"/>
      <c r="H97" s="444">
        <f t="shared" si="60"/>
        <v>0</v>
      </c>
      <c r="I97" s="444"/>
      <c r="J97" s="444">
        <f t="shared" si="60"/>
        <v>0</v>
      </c>
      <c r="K97" s="444"/>
      <c r="L97" s="444">
        <f t="shared" si="60"/>
        <v>0</v>
      </c>
      <c r="M97" s="444"/>
      <c r="N97" s="444">
        <f t="shared" si="60"/>
        <v>0</v>
      </c>
      <c r="O97" s="444"/>
      <c r="P97" s="444">
        <f t="shared" si="60"/>
        <v>0</v>
      </c>
      <c r="Q97" s="444"/>
      <c r="R97" s="444">
        <f t="shared" si="60"/>
        <v>0</v>
      </c>
      <c r="S97" s="444"/>
      <c r="T97" s="410">
        <f t="shared" si="49"/>
        <v>0</v>
      </c>
      <c r="U97" s="411" t="e">
        <f t="shared" si="58"/>
        <v>#DIV/0!</v>
      </c>
    </row>
    <row r="98" spans="1:23" ht="12.75" hidden="1" customHeight="1">
      <c r="A98" s="413" t="str">
        <f>A$10</f>
        <v>Publiskās attiecināmās izmaksas</v>
      </c>
      <c r="B98" s="311">
        <f>SUM(B93:B97)</f>
        <v>0</v>
      </c>
      <c r="C98" s="311"/>
      <c r="D98" s="311">
        <f t="shared" ref="D98:R98" si="61">SUM(D93:D97)</f>
        <v>0</v>
      </c>
      <c r="E98" s="311"/>
      <c r="F98" s="311">
        <f t="shared" si="61"/>
        <v>0</v>
      </c>
      <c r="G98" s="311"/>
      <c r="H98" s="311">
        <f t="shared" si="61"/>
        <v>0</v>
      </c>
      <c r="I98" s="311"/>
      <c r="J98" s="311">
        <f t="shared" si="61"/>
        <v>0</v>
      </c>
      <c r="K98" s="311"/>
      <c r="L98" s="311">
        <f t="shared" si="61"/>
        <v>0</v>
      </c>
      <c r="M98" s="311"/>
      <c r="N98" s="311">
        <f t="shared" si="61"/>
        <v>0</v>
      </c>
      <c r="O98" s="311"/>
      <c r="P98" s="311">
        <f t="shared" si="61"/>
        <v>0</v>
      </c>
      <c r="Q98" s="311"/>
      <c r="R98" s="311">
        <f t="shared" si="61"/>
        <v>0</v>
      </c>
      <c r="S98" s="311"/>
      <c r="T98" s="414">
        <f t="shared" si="49"/>
        <v>0</v>
      </c>
      <c r="U98" s="411" t="e">
        <f t="shared" si="58"/>
        <v>#DIV/0!</v>
      </c>
    </row>
    <row r="99" spans="1:23" ht="12.75" hidden="1" customHeight="1">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49"/>
        <v>0</v>
      </c>
      <c r="U99" s="411" t="e">
        <f t="shared" si="58"/>
        <v>#DIV/0!</v>
      </c>
    </row>
    <row r="100" spans="1:23" ht="12.75" hidden="1" customHeight="1">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49"/>
        <v>0</v>
      </c>
      <c r="U100" s="411" t="e">
        <f t="shared" si="58"/>
        <v>#DIV/0!</v>
      </c>
    </row>
    <row r="101" spans="1:23" ht="12.75" hidden="1" customHeight="1">
      <c r="A101" s="412" t="str">
        <f>A$13</f>
        <v>Publiskās ārpusprojekta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62">SUM(B101:R101)</f>
        <v>0</v>
      </c>
      <c r="U101" s="445" t="s">
        <v>318</v>
      </c>
    </row>
    <row r="102" spans="1:23" ht="12.75" hidden="1" customHeight="1">
      <c r="A102" s="412" t="str">
        <f>A$14</f>
        <v>Privātās ārpusprojekta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63">SUM(B102:R102)</f>
        <v>0</v>
      </c>
      <c r="U102" s="445" t="s">
        <v>318</v>
      </c>
    </row>
    <row r="103" spans="1:23" ht="12.75" hidden="1" customHeight="1">
      <c r="A103" s="413" t="str">
        <f>A$15</f>
        <v>Ārpusprojekta izmaksas kopā</v>
      </c>
      <c r="B103" s="311">
        <f>SUM(B101:B102)</f>
        <v>0</v>
      </c>
      <c r="C103" s="311"/>
      <c r="D103" s="311">
        <f t="shared" ref="D103:R103" si="64">SUM(D101:D102)</f>
        <v>0</v>
      </c>
      <c r="E103" s="311"/>
      <c r="F103" s="311">
        <f t="shared" si="64"/>
        <v>0</v>
      </c>
      <c r="G103" s="311"/>
      <c r="H103" s="311">
        <f t="shared" si="64"/>
        <v>0</v>
      </c>
      <c r="I103" s="311"/>
      <c r="J103" s="311">
        <f t="shared" si="64"/>
        <v>0</v>
      </c>
      <c r="K103" s="311"/>
      <c r="L103" s="311">
        <f t="shared" si="64"/>
        <v>0</v>
      </c>
      <c r="M103" s="311"/>
      <c r="N103" s="311">
        <f t="shared" si="64"/>
        <v>0</v>
      </c>
      <c r="O103" s="311"/>
      <c r="P103" s="311">
        <f t="shared" si="64"/>
        <v>0</v>
      </c>
      <c r="Q103" s="311"/>
      <c r="R103" s="311">
        <f t="shared" si="64"/>
        <v>0</v>
      </c>
      <c r="S103" s="311"/>
      <c r="T103" s="414">
        <f t="shared" si="63"/>
        <v>0</v>
      </c>
      <c r="U103" s="445" t="s">
        <v>318</v>
      </c>
    </row>
    <row r="104" spans="1:23" ht="12.75" hidden="1" customHeight="1">
      <c r="A104" s="418" t="str">
        <f>A$16</f>
        <v>Kopējās izmaksas</v>
      </c>
      <c r="B104" s="419">
        <f>B100+B103</f>
        <v>0</v>
      </c>
      <c r="C104" s="419"/>
      <c r="D104" s="419">
        <f t="shared" ref="D104:R104" si="65">D100+D103</f>
        <v>0</v>
      </c>
      <c r="E104" s="419"/>
      <c r="F104" s="419">
        <f t="shared" si="65"/>
        <v>0</v>
      </c>
      <c r="G104" s="419"/>
      <c r="H104" s="419">
        <f t="shared" si="65"/>
        <v>0</v>
      </c>
      <c r="I104" s="419"/>
      <c r="J104" s="419">
        <f t="shared" si="65"/>
        <v>0</v>
      </c>
      <c r="K104" s="419"/>
      <c r="L104" s="419">
        <f t="shared" si="65"/>
        <v>0</v>
      </c>
      <c r="M104" s="419"/>
      <c r="N104" s="419">
        <f t="shared" si="65"/>
        <v>0</v>
      </c>
      <c r="O104" s="419"/>
      <c r="P104" s="419">
        <f t="shared" si="65"/>
        <v>0</v>
      </c>
      <c r="Q104" s="419"/>
      <c r="R104" s="419">
        <f t="shared" si="65"/>
        <v>0</v>
      </c>
      <c r="S104" s="419"/>
      <c r="T104" s="421">
        <f t="shared" si="63"/>
        <v>0</v>
      </c>
      <c r="U104" s="445" t="s">
        <v>318</v>
      </c>
    </row>
    <row r="105" spans="1:23" ht="12.75" hidden="1"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hidden="1" customHeight="1">
      <c r="A106" s="447" t="s">
        <v>330</v>
      </c>
      <c r="B106" s="435">
        <f>'1.2.1.B. Partneris-1'!C3</f>
        <v>0</v>
      </c>
      <c r="C106" s="436"/>
      <c r="D106" s="436"/>
      <c r="E106" s="436"/>
      <c r="F106" s="435">
        <f>'1.2.1.B. Partneris-1'!H3</f>
        <v>0</v>
      </c>
      <c r="G106" s="436"/>
      <c r="H106" s="437"/>
      <c r="I106" s="436"/>
      <c r="J106" s="437" t="s">
        <v>325</v>
      </c>
      <c r="K106" s="436"/>
      <c r="L106" s="439">
        <f>'11. DL 4.pielikums'!$E$43</f>
        <v>0</v>
      </c>
      <c r="M106" s="436"/>
      <c r="N106" s="440" t="s">
        <v>332</v>
      </c>
      <c r="O106" s="436"/>
      <c r="P106" s="437"/>
      <c r="Q106" s="436"/>
      <c r="R106" s="437"/>
      <c r="S106" s="436"/>
      <c r="T106" s="437"/>
      <c r="U106" s="437"/>
      <c r="W106" s="4">
        <f>IF(F106=Dati!$J$3,1,IF(F106=Dati!$J$4,2,IF(F106=Dati!$J$5,3,0)))</f>
        <v>0</v>
      </c>
    </row>
    <row r="107" spans="1:23" ht="12.75" hidden="1" customHeight="1">
      <c r="A107" s="406" t="s">
        <v>310</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hidden="1">
      <c r="A108" s="441"/>
      <c r="B108" s="408" t="s">
        <v>311</v>
      </c>
      <c r="C108" s="408"/>
      <c r="D108" s="408" t="s">
        <v>311</v>
      </c>
      <c r="E108" s="408"/>
      <c r="F108" s="408" t="s">
        <v>311</v>
      </c>
      <c r="G108" s="408"/>
      <c r="H108" s="408" t="s">
        <v>311</v>
      </c>
      <c r="I108" s="408"/>
      <c r="J108" s="408" t="s">
        <v>311</v>
      </c>
      <c r="K108" s="408"/>
      <c r="L108" s="408" t="s">
        <v>311</v>
      </c>
      <c r="M108" s="408"/>
      <c r="N108" s="408" t="s">
        <v>311</v>
      </c>
      <c r="O108" s="408"/>
      <c r="P108" s="408" t="s">
        <v>311</v>
      </c>
      <c r="Q108" s="408"/>
      <c r="R108" s="408" t="s">
        <v>311</v>
      </c>
      <c r="S108" s="408"/>
      <c r="T108" s="408" t="s">
        <v>190</v>
      </c>
      <c r="U108" s="408" t="s">
        <v>134</v>
      </c>
    </row>
    <row r="109" spans="1:23" ht="12.75" hidden="1" customHeight="1">
      <c r="A109" s="442" t="str">
        <f>A$5</f>
        <v>Eiropas Reģionālās attīstības fonds</v>
      </c>
      <c r="B109" s="443">
        <f>(B116*$L$106)*$W$19-B113</f>
        <v>0</v>
      </c>
      <c r="C109" s="443"/>
      <c r="D109" s="443">
        <f t="shared" ref="D109:P109" si="66">(D116*$L$106)*$W$19-D113</f>
        <v>0</v>
      </c>
      <c r="E109" s="443"/>
      <c r="F109" s="443">
        <f t="shared" si="66"/>
        <v>0</v>
      </c>
      <c r="G109" s="443"/>
      <c r="H109" s="443">
        <f t="shared" si="66"/>
        <v>0</v>
      </c>
      <c r="I109" s="443"/>
      <c r="J109" s="443">
        <f t="shared" si="66"/>
        <v>0</v>
      </c>
      <c r="K109" s="443"/>
      <c r="L109" s="443">
        <f t="shared" si="66"/>
        <v>0</v>
      </c>
      <c r="M109" s="443"/>
      <c r="N109" s="443">
        <f t="shared" si="66"/>
        <v>0</v>
      </c>
      <c r="O109" s="443"/>
      <c r="P109" s="443">
        <f t="shared" si="66"/>
        <v>0</v>
      </c>
      <c r="Q109" s="443"/>
      <c r="R109" s="443">
        <f t="shared" ref="R109" si="67">(R116*$L$106-R113)*$W$19</f>
        <v>0</v>
      </c>
      <c r="S109" s="443"/>
      <c r="T109" s="410">
        <f t="shared" ref="T109:T115" si="68">SUM(B109:R109)</f>
        <v>0</v>
      </c>
      <c r="U109" s="411" t="e">
        <f>T109/$T$116</f>
        <v>#DIV/0!</v>
      </c>
    </row>
    <row r="110" spans="1:23" ht="12.75" hidden="1" customHeight="1">
      <c r="A110" s="412" t="str">
        <f>A$6</f>
        <v>Attiecināmais valsts budžeta finansējums</v>
      </c>
      <c r="B110" s="443">
        <f>IF($W106=2,B116-B109,0)</f>
        <v>0</v>
      </c>
      <c r="C110" s="443"/>
      <c r="D110" s="443">
        <f t="shared" ref="D110:R110" si="69">IF($W106=2,D116-D109,0)</f>
        <v>0</v>
      </c>
      <c r="E110" s="443"/>
      <c r="F110" s="443">
        <f t="shared" si="69"/>
        <v>0</v>
      </c>
      <c r="G110" s="443"/>
      <c r="H110" s="443">
        <f t="shared" si="69"/>
        <v>0</v>
      </c>
      <c r="I110" s="443"/>
      <c r="J110" s="443">
        <f t="shared" si="69"/>
        <v>0</v>
      </c>
      <c r="K110" s="443"/>
      <c r="L110" s="443">
        <f t="shared" si="69"/>
        <v>0</v>
      </c>
      <c r="M110" s="443"/>
      <c r="N110" s="443">
        <f t="shared" si="69"/>
        <v>0</v>
      </c>
      <c r="O110" s="443"/>
      <c r="P110" s="443">
        <f t="shared" si="69"/>
        <v>0</v>
      </c>
      <c r="Q110" s="443"/>
      <c r="R110" s="443">
        <f t="shared" si="69"/>
        <v>0</v>
      </c>
      <c r="S110" s="443"/>
      <c r="T110" s="410">
        <f t="shared" si="68"/>
        <v>0</v>
      </c>
      <c r="U110" s="411" t="e">
        <f t="shared" ref="U110:U116" si="70">T110/$T$116</f>
        <v>#DIV/0!</v>
      </c>
    </row>
    <row r="111" spans="1:23" ht="12.75" hidden="1" customHeight="1">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8"/>
        <v>0</v>
      </c>
      <c r="U111" s="411" t="e">
        <f t="shared" si="70"/>
        <v>#DIV/0!</v>
      </c>
    </row>
    <row r="112" spans="1:23" ht="12.75" hidden="1" customHeight="1">
      <c r="A112" s="412" t="str">
        <f>A$8</f>
        <v>Pašvaldības finansējums</v>
      </c>
      <c r="B112" s="444">
        <f>IF($W106=1,B116-B109-B111-B115-B113,0)</f>
        <v>0</v>
      </c>
      <c r="C112" s="444"/>
      <c r="D112" s="444">
        <f t="shared" ref="D112:R112" si="71">IF($W106=1,D116-D109-D111-D115-D113,0)</f>
        <v>0</v>
      </c>
      <c r="E112" s="444"/>
      <c r="F112" s="444">
        <f t="shared" si="71"/>
        <v>0</v>
      </c>
      <c r="G112" s="444"/>
      <c r="H112" s="444">
        <f t="shared" si="71"/>
        <v>0</v>
      </c>
      <c r="I112" s="444"/>
      <c r="J112" s="444">
        <f t="shared" si="71"/>
        <v>0</v>
      </c>
      <c r="K112" s="444"/>
      <c r="L112" s="444">
        <f t="shared" si="71"/>
        <v>0</v>
      </c>
      <c r="M112" s="444"/>
      <c r="N112" s="444">
        <f t="shared" si="71"/>
        <v>0</v>
      </c>
      <c r="O112" s="444"/>
      <c r="P112" s="444">
        <f t="shared" si="71"/>
        <v>0</v>
      </c>
      <c r="Q112" s="444"/>
      <c r="R112" s="444">
        <f t="shared" si="71"/>
        <v>0</v>
      </c>
      <c r="S112" s="444"/>
      <c r="T112" s="410">
        <f t="shared" si="68"/>
        <v>0</v>
      </c>
      <c r="U112" s="411" t="e">
        <f>T112/$T$116</f>
        <v>#DIV/0!</v>
      </c>
    </row>
    <row r="113" spans="1:23" s="3" customFormat="1" ht="12.75" hidden="1" customHeight="1">
      <c r="A113" s="412" t="str">
        <f>A$9</f>
        <v xml:space="preserve">Elastības finansējuma apjoms </v>
      </c>
      <c r="B113" s="444">
        <f>B116*$L$106*$W$20</f>
        <v>0</v>
      </c>
      <c r="C113" s="444"/>
      <c r="D113" s="444">
        <f t="shared" ref="D113:R113" si="72">D116*$L$106*$W$20</f>
        <v>0</v>
      </c>
      <c r="E113" s="444"/>
      <c r="F113" s="444">
        <f t="shared" si="72"/>
        <v>0</v>
      </c>
      <c r="G113" s="444"/>
      <c r="H113" s="444">
        <f t="shared" si="72"/>
        <v>0</v>
      </c>
      <c r="I113" s="444"/>
      <c r="J113" s="444">
        <f t="shared" si="72"/>
        <v>0</v>
      </c>
      <c r="K113" s="444"/>
      <c r="L113" s="444">
        <f t="shared" si="72"/>
        <v>0</v>
      </c>
      <c r="M113" s="444"/>
      <c r="N113" s="444">
        <f t="shared" si="72"/>
        <v>0</v>
      </c>
      <c r="O113" s="444"/>
      <c r="P113" s="444">
        <f t="shared" si="72"/>
        <v>0</v>
      </c>
      <c r="Q113" s="444"/>
      <c r="R113" s="444">
        <f t="shared" si="72"/>
        <v>0</v>
      </c>
      <c r="S113" s="444"/>
      <c r="T113" s="410">
        <f t="shared" si="68"/>
        <v>0</v>
      </c>
      <c r="U113" s="411" t="e">
        <f t="shared" si="70"/>
        <v>#DIV/0!</v>
      </c>
    </row>
    <row r="114" spans="1:23" ht="12.75" hidden="1" customHeight="1">
      <c r="A114" s="413" t="str">
        <f>A$10</f>
        <v>Publiskās attiecināmās izmaksas</v>
      </c>
      <c r="B114" s="311">
        <f>SUM(B109:B113)</f>
        <v>0</v>
      </c>
      <c r="C114" s="311"/>
      <c r="D114" s="311">
        <f t="shared" ref="D114:R114" si="73">SUM(D109:D113)</f>
        <v>0</v>
      </c>
      <c r="E114" s="311"/>
      <c r="F114" s="311">
        <f t="shared" si="73"/>
        <v>0</v>
      </c>
      <c r="G114" s="311"/>
      <c r="H114" s="311">
        <f t="shared" si="73"/>
        <v>0</v>
      </c>
      <c r="I114" s="311"/>
      <c r="J114" s="311">
        <f t="shared" si="73"/>
        <v>0</v>
      </c>
      <c r="K114" s="311"/>
      <c r="L114" s="311">
        <f t="shared" si="73"/>
        <v>0</v>
      </c>
      <c r="M114" s="311"/>
      <c r="N114" s="311">
        <f t="shared" si="73"/>
        <v>0</v>
      </c>
      <c r="O114" s="311"/>
      <c r="P114" s="311">
        <f t="shared" si="73"/>
        <v>0</v>
      </c>
      <c r="Q114" s="311"/>
      <c r="R114" s="311">
        <f t="shared" si="73"/>
        <v>0</v>
      </c>
      <c r="S114" s="311"/>
      <c r="T114" s="414">
        <f t="shared" si="68"/>
        <v>0</v>
      </c>
      <c r="U114" s="411" t="e">
        <f t="shared" si="70"/>
        <v>#DIV/0!</v>
      </c>
    </row>
    <row r="115" spans="1:23" ht="12.75" hidden="1" customHeight="1">
      <c r="A115" s="412" t="str">
        <f>A$11</f>
        <v>Privātās attiecināmās izmaksas</v>
      </c>
      <c r="B115" s="444">
        <f>IF($W$106=1,B116*'11. DL 4.pielikums'!$G$35-'9. DL PI Fin.plans'!B116*'9. DL PI Fin.plans'!$L$106,B116-B109-B110-B111-B112-B113)</f>
        <v>0</v>
      </c>
      <c r="C115" s="444"/>
      <c r="D115" s="444">
        <f>IF($W$106=1,D116*'11. DL 4.pielikums'!$G$35-'9. DL PI Fin.plans'!D116*'9. DL PI Fin.plans'!$L$106,D116-D109-D110-D111-D112-D113)</f>
        <v>0</v>
      </c>
      <c r="E115" s="444"/>
      <c r="F115" s="444">
        <f>IF($W$106=1,F116*'11. DL 4.pielikums'!$G$35-'9. DL PI Fin.plans'!F116*'9. DL PI Fin.plans'!$L$106,F116-F109-F110-F111-F112-F113)</f>
        <v>0</v>
      </c>
      <c r="G115" s="444"/>
      <c r="H115" s="444">
        <f>IF($W$106=1,H116*'11. DL 4.pielikums'!$G$35-'9. DL PI Fin.plans'!H116*'9. DL PI Fin.plans'!$L$106,H116-H109-H110-H111-H112-H113)</f>
        <v>0</v>
      </c>
      <c r="I115" s="444"/>
      <c r="J115" s="444">
        <f>IF($W$106=1,J116*'11. DL 4.pielikums'!$G$35-'9. DL PI Fin.plans'!J116*'9. DL PI Fin.plans'!$L$106,J116-J109-J110-J111-J112-J113)</f>
        <v>0</v>
      </c>
      <c r="K115" s="444"/>
      <c r="L115" s="444">
        <f>IF($W$106=1,L116*'11. DL 4.pielikums'!$G$35-'9. DL PI Fin.plans'!L116*'9. DL PI Fin.plans'!$L$106,L116-L109-L110-L111-L112-L113)</f>
        <v>0</v>
      </c>
      <c r="M115" s="444"/>
      <c r="N115" s="444">
        <f>IF($W$106=1,N116*'11. DL 4.pielikums'!$G$35-'9. DL PI Fin.plans'!N116*'9. DL PI Fin.plans'!$L$106,N116-N109-N110-N111-N112-N113)</f>
        <v>0</v>
      </c>
      <c r="O115" s="444"/>
      <c r="P115" s="444">
        <f>IF($W$106=1,P116*'11. DL 4.pielikums'!$G$35-'9. DL PI Fin.plans'!P116*'9. DL PI Fin.plans'!$L$106,P116-P109-P110-P111-P112-P113)</f>
        <v>0</v>
      </c>
      <c r="Q115" s="444"/>
      <c r="R115" s="444">
        <f>IF($W$106=1,R116*'11. DL 4.pielikums'!$G$35-'9. DL PI Fin.plans'!R116*'9. DL PI Fin.plans'!$L$106,R116-R109-R110-R111-R112-R113)</f>
        <v>0</v>
      </c>
      <c r="S115" s="444"/>
      <c r="T115" s="410">
        <f t="shared" si="68"/>
        <v>0</v>
      </c>
      <c r="U115" s="411" t="e">
        <f t="shared" si="70"/>
        <v>#DIV/0!</v>
      </c>
    </row>
    <row r="116" spans="1:23" ht="12.75" hidden="1" customHeight="1">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70"/>
        <v>#DIV/0!</v>
      </c>
    </row>
    <row r="117" spans="1:23" ht="12.75" hidden="1" customHeight="1">
      <c r="A117" s="412" t="str">
        <f>A$13</f>
        <v>Publiskās ārpusprojekta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74">SUM(B117:R117)</f>
        <v>0</v>
      </c>
      <c r="U117" s="445" t="s">
        <v>318</v>
      </c>
    </row>
    <row r="118" spans="1:23" ht="12.75" hidden="1" customHeight="1">
      <c r="A118" s="412" t="str">
        <f>A$14</f>
        <v>Privātās ārpusprojekta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74"/>
        <v>0</v>
      </c>
      <c r="U118" s="445" t="s">
        <v>318</v>
      </c>
    </row>
    <row r="119" spans="1:23" ht="12.75" hidden="1" customHeight="1">
      <c r="A119" s="413" t="str">
        <f>A$15</f>
        <v>Ārpusprojekta izmaksas kopā</v>
      </c>
      <c r="B119" s="311">
        <f>SUM(B117:B118)</f>
        <v>0</v>
      </c>
      <c r="C119" s="311"/>
      <c r="D119" s="311">
        <f t="shared" ref="D119:R119" si="75">SUM(D117:D118)</f>
        <v>0</v>
      </c>
      <c r="E119" s="311"/>
      <c r="F119" s="311">
        <f t="shared" si="75"/>
        <v>0</v>
      </c>
      <c r="G119" s="311"/>
      <c r="H119" s="311">
        <f t="shared" si="75"/>
        <v>0</v>
      </c>
      <c r="I119" s="311"/>
      <c r="J119" s="311">
        <f t="shared" si="75"/>
        <v>0</v>
      </c>
      <c r="K119" s="311"/>
      <c r="L119" s="311">
        <f t="shared" si="75"/>
        <v>0</v>
      </c>
      <c r="M119" s="311"/>
      <c r="N119" s="311">
        <f t="shared" si="75"/>
        <v>0</v>
      </c>
      <c r="O119" s="311"/>
      <c r="P119" s="311">
        <f t="shared" si="75"/>
        <v>0</v>
      </c>
      <c r="Q119" s="311"/>
      <c r="R119" s="311">
        <f t="shared" si="75"/>
        <v>0</v>
      </c>
      <c r="S119" s="311"/>
      <c r="T119" s="414">
        <f t="shared" si="74"/>
        <v>0</v>
      </c>
      <c r="U119" s="445" t="s">
        <v>318</v>
      </c>
    </row>
    <row r="120" spans="1:23" ht="12.75" hidden="1" customHeight="1">
      <c r="A120" s="418" t="str">
        <f>A$16</f>
        <v>Kopējās izmaksas</v>
      </c>
      <c r="B120" s="419">
        <f>B116+B119</f>
        <v>0</v>
      </c>
      <c r="C120" s="419"/>
      <c r="D120" s="419">
        <f t="shared" ref="D120:R120" si="76">D116+D119</f>
        <v>0</v>
      </c>
      <c r="E120" s="419"/>
      <c r="F120" s="419">
        <f t="shared" si="76"/>
        <v>0</v>
      </c>
      <c r="G120" s="419"/>
      <c r="H120" s="419">
        <f t="shared" si="76"/>
        <v>0</v>
      </c>
      <c r="I120" s="419"/>
      <c r="J120" s="419">
        <f t="shared" si="76"/>
        <v>0</v>
      </c>
      <c r="K120" s="419"/>
      <c r="L120" s="419">
        <f t="shared" si="76"/>
        <v>0</v>
      </c>
      <c r="M120" s="419"/>
      <c r="N120" s="419">
        <f t="shared" si="76"/>
        <v>0</v>
      </c>
      <c r="O120" s="419"/>
      <c r="P120" s="419">
        <f t="shared" si="76"/>
        <v>0</v>
      </c>
      <c r="Q120" s="419"/>
      <c r="R120" s="419">
        <f t="shared" si="76"/>
        <v>0</v>
      </c>
      <c r="S120" s="419"/>
      <c r="T120" s="414">
        <f>SUM(B120:R120)</f>
        <v>0</v>
      </c>
      <c r="U120" s="445" t="s">
        <v>318</v>
      </c>
    </row>
    <row r="121" spans="1:23" ht="12.75" hidden="1" customHeight="1">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hidden="1" customHeight="1">
      <c r="A122" s="447" t="s">
        <v>330</v>
      </c>
      <c r="B122" s="435">
        <f>'1.2.1.B. Partneris-1'!C3</f>
        <v>0</v>
      </c>
      <c r="C122" s="436"/>
      <c r="D122" s="436"/>
      <c r="E122" s="436"/>
      <c r="F122" s="435">
        <f>'1.2.1.B. Partneris-1'!H3</f>
        <v>0</v>
      </c>
      <c r="G122" s="436"/>
      <c r="H122" s="437"/>
      <c r="I122" s="436"/>
      <c r="J122" s="437" t="s">
        <v>325</v>
      </c>
      <c r="K122" s="436"/>
      <c r="L122" s="439">
        <f>'1.2.1.B. Partneris-1'!C14</f>
        <v>1</v>
      </c>
      <c r="M122" s="436"/>
      <c r="N122" s="440" t="s">
        <v>333</v>
      </c>
      <c r="O122" s="436"/>
      <c r="P122" s="437"/>
      <c r="Q122" s="436"/>
      <c r="R122" s="437"/>
      <c r="S122" s="436"/>
      <c r="T122" s="437"/>
      <c r="U122" s="437"/>
      <c r="W122" s="4">
        <f>IF(F122=Dati!$J$3,1,IF(F122=Dati!$J$4,2,IF(F122=Dati!$J$5,3,0)))</f>
        <v>0</v>
      </c>
    </row>
    <row r="123" spans="1:23" hidden="1">
      <c r="A123" s="406" t="s">
        <v>310</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hidden="1">
      <c r="A124" s="441"/>
      <c r="B124" s="408" t="s">
        <v>311</v>
      </c>
      <c r="C124" s="408"/>
      <c r="D124" s="408" t="s">
        <v>311</v>
      </c>
      <c r="E124" s="408"/>
      <c r="F124" s="408" t="s">
        <v>311</v>
      </c>
      <c r="G124" s="408"/>
      <c r="H124" s="408" t="s">
        <v>311</v>
      </c>
      <c r="I124" s="408"/>
      <c r="J124" s="408" t="s">
        <v>311</v>
      </c>
      <c r="K124" s="408"/>
      <c r="L124" s="408" t="s">
        <v>311</v>
      </c>
      <c r="M124" s="408"/>
      <c r="N124" s="408" t="s">
        <v>311</v>
      </c>
      <c r="O124" s="408"/>
      <c r="P124" s="408" t="s">
        <v>311</v>
      </c>
      <c r="Q124" s="408"/>
      <c r="R124" s="408" t="s">
        <v>311</v>
      </c>
      <c r="S124" s="408"/>
      <c r="T124" s="408" t="s">
        <v>190</v>
      </c>
      <c r="U124" s="408" t="s">
        <v>134</v>
      </c>
    </row>
    <row r="125" spans="1:23" ht="12.75" hidden="1" customHeight="1">
      <c r="A125" s="442" t="str">
        <f>A$5</f>
        <v>Eiropas Reģionālās attīstības fonds</v>
      </c>
      <c r="B125" s="443">
        <f>(B132*$L$122)*$W$19-B129</f>
        <v>0</v>
      </c>
      <c r="C125" s="443"/>
      <c r="D125" s="443">
        <f t="shared" ref="D125:P125" si="77">(D132*$L$122)*$W$19-D129</f>
        <v>0</v>
      </c>
      <c r="E125" s="443"/>
      <c r="F125" s="443">
        <f t="shared" si="77"/>
        <v>0</v>
      </c>
      <c r="G125" s="443"/>
      <c r="H125" s="443">
        <f t="shared" si="77"/>
        <v>0</v>
      </c>
      <c r="I125" s="443"/>
      <c r="J125" s="443">
        <f t="shared" si="77"/>
        <v>0</v>
      </c>
      <c r="K125" s="443"/>
      <c r="L125" s="443">
        <f t="shared" si="77"/>
        <v>0</v>
      </c>
      <c r="M125" s="443"/>
      <c r="N125" s="443">
        <f t="shared" si="77"/>
        <v>0</v>
      </c>
      <c r="O125" s="443"/>
      <c r="P125" s="443">
        <f t="shared" si="77"/>
        <v>0</v>
      </c>
      <c r="Q125" s="443"/>
      <c r="R125" s="443">
        <f t="shared" ref="R125" si="78">(R132*$L$122-R129)*$W$19</f>
        <v>0</v>
      </c>
      <c r="S125" s="443"/>
      <c r="T125" s="410">
        <f t="shared" ref="T125:T131" si="79">SUM(B125:R125)</f>
        <v>0</v>
      </c>
      <c r="U125" s="411" t="e">
        <f>T125/$T$132</f>
        <v>#DIV/0!</v>
      </c>
    </row>
    <row r="126" spans="1:23" ht="12.75" hidden="1" customHeight="1">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79"/>
        <v>0</v>
      </c>
      <c r="U126" s="411" t="e">
        <f t="shared" ref="U126:U132" si="80">T126/$T$132</f>
        <v>#DIV/0!</v>
      </c>
    </row>
    <row r="127" spans="1:23" ht="12.75" hidden="1" customHeight="1">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79"/>
        <v>0</v>
      </c>
      <c r="U127" s="411" t="e">
        <f t="shared" si="80"/>
        <v>#DIV/0!</v>
      </c>
    </row>
    <row r="128" spans="1:23" ht="12.75" hidden="1" customHeight="1">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79"/>
        <v>0</v>
      </c>
      <c r="U128" s="411" t="e">
        <f t="shared" si="80"/>
        <v>#DIV/0!</v>
      </c>
    </row>
    <row r="129" spans="1:24" s="3" customFormat="1" ht="12.75" hidden="1" customHeight="1">
      <c r="A129" s="412" t="str">
        <f>A$9</f>
        <v xml:space="preserve">Elastības finansējuma apjoms </v>
      </c>
      <c r="B129" s="444">
        <f>B132*$L$122*$W$20</f>
        <v>0</v>
      </c>
      <c r="C129" s="444"/>
      <c r="D129" s="444">
        <f t="shared" ref="D129:R129" si="81">D132*$L$122*$W$20</f>
        <v>0</v>
      </c>
      <c r="E129" s="444"/>
      <c r="F129" s="444">
        <f t="shared" si="81"/>
        <v>0</v>
      </c>
      <c r="G129" s="444"/>
      <c r="H129" s="444">
        <f t="shared" si="81"/>
        <v>0</v>
      </c>
      <c r="I129" s="444"/>
      <c r="J129" s="444">
        <f t="shared" si="81"/>
        <v>0</v>
      </c>
      <c r="K129" s="444"/>
      <c r="L129" s="444">
        <f t="shared" si="81"/>
        <v>0</v>
      </c>
      <c r="M129" s="444"/>
      <c r="N129" s="444">
        <f t="shared" si="81"/>
        <v>0</v>
      </c>
      <c r="O129" s="444"/>
      <c r="P129" s="444">
        <f t="shared" si="81"/>
        <v>0</v>
      </c>
      <c r="Q129" s="444"/>
      <c r="R129" s="444">
        <f t="shared" si="81"/>
        <v>0</v>
      </c>
      <c r="S129" s="444"/>
      <c r="T129" s="410">
        <f t="shared" si="79"/>
        <v>0</v>
      </c>
      <c r="U129" s="411" t="e">
        <f t="shared" si="80"/>
        <v>#DIV/0!</v>
      </c>
    </row>
    <row r="130" spans="1:24" ht="12.75" hidden="1" customHeight="1">
      <c r="A130" s="413" t="str">
        <f>A$10</f>
        <v>Publiskās attiecināmās izmaksas</v>
      </c>
      <c r="B130" s="311">
        <f>SUM(B125:B129)</f>
        <v>0</v>
      </c>
      <c r="C130" s="311"/>
      <c r="D130" s="311">
        <f t="shared" ref="D130:R130" si="82">SUM(D125:D129)</f>
        <v>0</v>
      </c>
      <c r="E130" s="311"/>
      <c r="F130" s="311">
        <f t="shared" si="82"/>
        <v>0</v>
      </c>
      <c r="G130" s="311"/>
      <c r="H130" s="311">
        <f t="shared" si="82"/>
        <v>0</v>
      </c>
      <c r="I130" s="311"/>
      <c r="J130" s="311">
        <f t="shared" si="82"/>
        <v>0</v>
      </c>
      <c r="K130" s="311"/>
      <c r="L130" s="311">
        <f t="shared" si="82"/>
        <v>0</v>
      </c>
      <c r="M130" s="311"/>
      <c r="N130" s="311">
        <f t="shared" si="82"/>
        <v>0</v>
      </c>
      <c r="O130" s="311"/>
      <c r="P130" s="311">
        <f t="shared" si="82"/>
        <v>0</v>
      </c>
      <c r="Q130" s="311"/>
      <c r="R130" s="311">
        <f t="shared" si="82"/>
        <v>0</v>
      </c>
      <c r="S130" s="311"/>
      <c r="T130" s="414">
        <f t="shared" si="79"/>
        <v>0</v>
      </c>
      <c r="U130" s="411" t="e">
        <f t="shared" si="80"/>
        <v>#DIV/0!</v>
      </c>
    </row>
    <row r="131" spans="1:24" ht="12.75" hidden="1" customHeight="1">
      <c r="A131" s="412" t="str">
        <f>A$11</f>
        <v>Privātās attiecināmās izmaksas</v>
      </c>
      <c r="B131" s="444">
        <f>B132-B130</f>
        <v>0</v>
      </c>
      <c r="C131" s="444"/>
      <c r="D131" s="444">
        <f t="shared" ref="D131:R131" si="83">D132-D130</f>
        <v>0</v>
      </c>
      <c r="E131" s="444"/>
      <c r="F131" s="444">
        <f t="shared" si="83"/>
        <v>0</v>
      </c>
      <c r="G131" s="444"/>
      <c r="H131" s="444">
        <f t="shared" si="83"/>
        <v>0</v>
      </c>
      <c r="I131" s="444"/>
      <c r="J131" s="444">
        <f t="shared" si="83"/>
        <v>0</v>
      </c>
      <c r="K131" s="444"/>
      <c r="L131" s="444">
        <f t="shared" si="83"/>
        <v>0</v>
      </c>
      <c r="M131" s="444"/>
      <c r="N131" s="444">
        <f t="shared" si="83"/>
        <v>0</v>
      </c>
      <c r="O131" s="444"/>
      <c r="P131" s="444">
        <f t="shared" si="83"/>
        <v>0</v>
      </c>
      <c r="Q131" s="444"/>
      <c r="R131" s="444">
        <f t="shared" si="83"/>
        <v>0</v>
      </c>
      <c r="S131" s="444"/>
      <c r="T131" s="410">
        <f t="shared" si="79"/>
        <v>0</v>
      </c>
      <c r="U131" s="411" t="e">
        <f t="shared" si="80"/>
        <v>#DIV/0!</v>
      </c>
    </row>
    <row r="132" spans="1:24" ht="12.75" hidden="1" customHeight="1">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80"/>
        <v>#DIV/0!</v>
      </c>
    </row>
    <row r="133" spans="1:24" ht="12.75" hidden="1" customHeight="1">
      <c r="A133" s="412" t="str">
        <f>A$13</f>
        <v>Publiskās ārpusprojekta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84">SUM(B133:R133)</f>
        <v>0</v>
      </c>
      <c r="U133" s="445" t="s">
        <v>318</v>
      </c>
    </row>
    <row r="134" spans="1:24" ht="12.75" hidden="1" customHeight="1">
      <c r="A134" s="412" t="str">
        <f>A$14</f>
        <v>Privātās ārpusprojekta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84"/>
        <v>0</v>
      </c>
      <c r="U134" s="445" t="s">
        <v>318</v>
      </c>
    </row>
    <row r="135" spans="1:24" ht="12.75" hidden="1" customHeight="1">
      <c r="A135" s="413" t="str">
        <f>A$15</f>
        <v>Ārpusprojekta izmaksas kopā</v>
      </c>
      <c r="B135" s="311">
        <f>SUM(B133:B134)</f>
        <v>0</v>
      </c>
      <c r="C135" s="311"/>
      <c r="D135" s="311">
        <f t="shared" ref="D135:R135" si="85">SUM(D133:D134)</f>
        <v>0</v>
      </c>
      <c r="E135" s="311"/>
      <c r="F135" s="311">
        <f t="shared" si="85"/>
        <v>0</v>
      </c>
      <c r="G135" s="311"/>
      <c r="H135" s="311">
        <f t="shared" si="85"/>
        <v>0</v>
      </c>
      <c r="I135" s="311"/>
      <c r="J135" s="311">
        <f t="shared" si="85"/>
        <v>0</v>
      </c>
      <c r="K135" s="311"/>
      <c r="L135" s="311">
        <f t="shared" si="85"/>
        <v>0</v>
      </c>
      <c r="M135" s="311"/>
      <c r="N135" s="311">
        <f t="shared" si="85"/>
        <v>0</v>
      </c>
      <c r="O135" s="311"/>
      <c r="P135" s="311">
        <f t="shared" si="85"/>
        <v>0</v>
      </c>
      <c r="Q135" s="311"/>
      <c r="R135" s="311">
        <f t="shared" si="85"/>
        <v>0</v>
      </c>
      <c r="S135" s="311"/>
      <c r="T135" s="414">
        <f t="shared" si="84"/>
        <v>0</v>
      </c>
      <c r="U135" s="445" t="s">
        <v>318</v>
      </c>
    </row>
    <row r="136" spans="1:24" ht="12.75" hidden="1" customHeight="1">
      <c r="A136" s="418" t="str">
        <f>A$16</f>
        <v>Kopējās izmaksas</v>
      </c>
      <c r="B136" s="419">
        <f>B132+B135</f>
        <v>0</v>
      </c>
      <c r="C136" s="419"/>
      <c r="D136" s="419">
        <f t="shared" ref="D136:R136" si="86">D132+D135</f>
        <v>0</v>
      </c>
      <c r="E136" s="419"/>
      <c r="F136" s="419">
        <f t="shared" si="86"/>
        <v>0</v>
      </c>
      <c r="G136" s="419"/>
      <c r="H136" s="419">
        <f t="shared" si="86"/>
        <v>0</v>
      </c>
      <c r="I136" s="419"/>
      <c r="J136" s="419">
        <f t="shared" si="86"/>
        <v>0</v>
      </c>
      <c r="K136" s="419"/>
      <c r="L136" s="419">
        <f t="shared" si="86"/>
        <v>0</v>
      </c>
      <c r="M136" s="419"/>
      <c r="N136" s="419">
        <f t="shared" si="86"/>
        <v>0</v>
      </c>
      <c r="O136" s="419"/>
      <c r="P136" s="419">
        <f t="shared" si="86"/>
        <v>0</v>
      </c>
      <c r="Q136" s="419"/>
      <c r="R136" s="419">
        <f t="shared" si="86"/>
        <v>0</v>
      </c>
      <c r="S136" s="419"/>
      <c r="T136" s="414">
        <f>SUM(B136:R136)</f>
        <v>0</v>
      </c>
      <c r="U136" s="445" t="s">
        <v>318</v>
      </c>
    </row>
    <row r="137" spans="1:24" ht="12.75" hidden="1" customHeight="1">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hidden="1" customHeight="1">
      <c r="A138" s="447" t="s">
        <v>330</v>
      </c>
      <c r="B138" s="435">
        <f>'1.2.1.C. Partneris-1'!C3</f>
        <v>0</v>
      </c>
      <c r="C138" s="436"/>
      <c r="D138" s="436"/>
      <c r="E138" s="436"/>
      <c r="F138" s="435">
        <f>'1.2.1.C. Partneris-1'!H3</f>
        <v>0</v>
      </c>
      <c r="G138" s="436"/>
      <c r="H138" s="437"/>
      <c r="I138" s="436"/>
      <c r="J138" s="437" t="s">
        <v>325</v>
      </c>
      <c r="K138" s="436"/>
      <c r="L138" s="439">
        <f>'1.2.1.C. Partneris-1'!C24</f>
        <v>0.85</v>
      </c>
      <c r="M138" s="436"/>
      <c r="N138" s="440" t="s">
        <v>334</v>
      </c>
      <c r="O138" s="436"/>
      <c r="P138" s="437"/>
      <c r="Q138" s="436"/>
      <c r="R138" s="437"/>
      <c r="S138" s="436"/>
      <c r="T138" s="437"/>
      <c r="U138" s="437"/>
      <c r="W138" s="4">
        <f>IF(F138=Dati!$J$3,1,IF(F138=Dati!$J$4,2,IF(F138=Dati!$J$5,3,0)))</f>
        <v>0</v>
      </c>
      <c r="X138" s="4">
        <f>'1.2.1.C. Partneris-1'!AA3</f>
        <v>0</v>
      </c>
    </row>
    <row r="139" spans="1:24" hidden="1">
      <c r="A139" s="406" t="s">
        <v>310</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hidden="1">
      <c r="A140" s="441"/>
      <c r="B140" s="408" t="s">
        <v>311</v>
      </c>
      <c r="C140" s="408"/>
      <c r="D140" s="408" t="s">
        <v>311</v>
      </c>
      <c r="E140" s="408"/>
      <c r="F140" s="408" t="s">
        <v>311</v>
      </c>
      <c r="G140" s="408"/>
      <c r="H140" s="408" t="s">
        <v>311</v>
      </c>
      <c r="I140" s="408"/>
      <c r="J140" s="408" t="s">
        <v>311</v>
      </c>
      <c r="K140" s="408"/>
      <c r="L140" s="408" t="s">
        <v>311</v>
      </c>
      <c r="M140" s="408"/>
      <c r="N140" s="408" t="s">
        <v>311</v>
      </c>
      <c r="O140" s="408"/>
      <c r="P140" s="408" t="s">
        <v>311</v>
      </c>
      <c r="Q140" s="408"/>
      <c r="R140" s="408" t="s">
        <v>311</v>
      </c>
      <c r="S140" s="408"/>
      <c r="T140" s="408" t="s">
        <v>190</v>
      </c>
      <c r="U140" s="408" t="s">
        <v>134</v>
      </c>
    </row>
    <row r="141" spans="1:24" ht="12.75" hidden="1" customHeight="1">
      <c r="A141" s="442" t="str">
        <f>A$5</f>
        <v>Eiropas Reģionālās attīstības fonds</v>
      </c>
      <c r="B141" s="443">
        <f>(B148*$L$138)*$W$19-B153</f>
        <v>0</v>
      </c>
      <c r="C141" s="443"/>
      <c r="D141" s="443">
        <f t="shared" ref="D141" si="87">(D148*$L$138)*$W$19-D153</f>
        <v>0</v>
      </c>
      <c r="E141" s="443"/>
      <c r="F141" s="443">
        <f>(F148*$L$138-F153)*$W$19</f>
        <v>0</v>
      </c>
      <c r="G141" s="443"/>
      <c r="H141" s="443">
        <f t="shared" ref="H141:R141" si="88">(H148*$L$138-H153)*$W$19</f>
        <v>0</v>
      </c>
      <c r="I141" s="443"/>
      <c r="J141" s="443">
        <f t="shared" si="88"/>
        <v>0</v>
      </c>
      <c r="K141" s="443"/>
      <c r="L141" s="443">
        <f t="shared" si="88"/>
        <v>0</v>
      </c>
      <c r="M141" s="443"/>
      <c r="N141" s="443">
        <f t="shared" si="88"/>
        <v>0</v>
      </c>
      <c r="O141" s="443"/>
      <c r="P141" s="443">
        <f t="shared" si="88"/>
        <v>0</v>
      </c>
      <c r="Q141" s="443"/>
      <c r="R141" s="443">
        <f t="shared" si="88"/>
        <v>0</v>
      </c>
      <c r="S141" s="443"/>
      <c r="T141" s="410">
        <f>SUM(B141:R141)</f>
        <v>0</v>
      </c>
      <c r="U141" s="411" t="e">
        <f>T141/$T$148</f>
        <v>#DIV/0!</v>
      </c>
    </row>
    <row r="142" spans="1:24" ht="12.75" hidden="1" customHeight="1">
      <c r="A142" s="412" t="str">
        <f>A$6</f>
        <v>Attiecināmais valsts budžeta finansējums</v>
      </c>
      <c r="B142" s="443">
        <f>IF($W138=2,B148-B141,0)</f>
        <v>0</v>
      </c>
      <c r="C142" s="443"/>
      <c r="D142" s="443">
        <f t="shared" ref="D142:R142" si="89">IF($W138=2,D148-D141,0)</f>
        <v>0</v>
      </c>
      <c r="E142" s="443"/>
      <c r="F142" s="443">
        <f t="shared" si="89"/>
        <v>0</v>
      </c>
      <c r="G142" s="443"/>
      <c r="H142" s="443">
        <f t="shared" si="89"/>
        <v>0</v>
      </c>
      <c r="I142" s="443"/>
      <c r="J142" s="443">
        <f t="shared" si="89"/>
        <v>0</v>
      </c>
      <c r="K142" s="443"/>
      <c r="L142" s="443">
        <f t="shared" si="89"/>
        <v>0</v>
      </c>
      <c r="M142" s="443"/>
      <c r="N142" s="443">
        <f t="shared" si="89"/>
        <v>0</v>
      </c>
      <c r="O142" s="443"/>
      <c r="P142" s="443">
        <f t="shared" si="89"/>
        <v>0</v>
      </c>
      <c r="Q142" s="443"/>
      <c r="R142" s="443">
        <f t="shared" si="89"/>
        <v>0</v>
      </c>
      <c r="S142" s="443"/>
      <c r="T142" s="410">
        <f t="shared" ref="T142:T147" si="90">SUM(B142:R142)</f>
        <v>0</v>
      </c>
      <c r="U142" s="411" t="e">
        <f t="shared" ref="U142:U147" si="91">T142/$T$148</f>
        <v>#DIV/0!</v>
      </c>
    </row>
    <row r="143" spans="1:24" ht="12.75" hidden="1" customHeight="1">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90"/>
        <v>0</v>
      </c>
      <c r="U143" s="411" t="e">
        <f t="shared" si="91"/>
        <v>#DIV/0!</v>
      </c>
    </row>
    <row r="144" spans="1:24" ht="12.75" hidden="1" customHeight="1">
      <c r="A144" s="412" t="str">
        <f>A$8</f>
        <v>Pašvaldības finansējums</v>
      </c>
      <c r="B144" s="444">
        <f>IF($W138=1,B148-B141-B143-B147-B145,0)</f>
        <v>0</v>
      </c>
      <c r="C144" s="444"/>
      <c r="D144" s="444">
        <f t="shared" ref="D144:R144" si="92">IF($W138=1,D148-D141-D143-D147-D145,0)</f>
        <v>0</v>
      </c>
      <c r="E144" s="444"/>
      <c r="F144" s="444">
        <f t="shared" si="92"/>
        <v>0</v>
      </c>
      <c r="G144" s="444"/>
      <c r="H144" s="444">
        <f t="shared" si="92"/>
        <v>0</v>
      </c>
      <c r="I144" s="444"/>
      <c r="J144" s="444">
        <f t="shared" si="92"/>
        <v>0</v>
      </c>
      <c r="K144" s="444"/>
      <c r="L144" s="444">
        <f t="shared" si="92"/>
        <v>0</v>
      </c>
      <c r="M144" s="444"/>
      <c r="N144" s="444">
        <f t="shared" si="92"/>
        <v>0</v>
      </c>
      <c r="O144" s="444"/>
      <c r="P144" s="444">
        <f t="shared" si="92"/>
        <v>0</v>
      </c>
      <c r="Q144" s="444"/>
      <c r="R144" s="444">
        <f t="shared" si="92"/>
        <v>0</v>
      </c>
      <c r="S144" s="444"/>
      <c r="T144" s="410">
        <f t="shared" si="90"/>
        <v>0</v>
      </c>
      <c r="U144" s="411" t="e">
        <f t="shared" si="91"/>
        <v>#DIV/0!</v>
      </c>
    </row>
    <row r="145" spans="1:23" s="3" customFormat="1" ht="12.75" hidden="1" customHeight="1">
      <c r="A145" s="412" t="str">
        <f>A$9</f>
        <v xml:space="preserve">Elastības finansējuma apjoms </v>
      </c>
      <c r="B145" s="444">
        <f>IF($X$138=2,B148*(1-$L$138)+(B148*$L$138*$W$20)+(B148*$L$138*(1-$W$19)),B148*$L$138*$W$20)</f>
        <v>0</v>
      </c>
      <c r="C145" s="444"/>
      <c r="D145" s="444">
        <f t="shared" ref="D145:R145" si="93">IF($X$138=2,D148*(1-$L$138)+(D148*$L$138*$W$20)+(D148*$L$138*(1-$W$19)),D148*$L$138*$W$20)</f>
        <v>0</v>
      </c>
      <c r="E145" s="444"/>
      <c r="F145" s="444">
        <f t="shared" si="93"/>
        <v>0</v>
      </c>
      <c r="G145" s="444"/>
      <c r="H145" s="444">
        <f t="shared" si="93"/>
        <v>0</v>
      </c>
      <c r="I145" s="444"/>
      <c r="J145" s="444">
        <f t="shared" si="93"/>
        <v>0</v>
      </c>
      <c r="K145" s="444"/>
      <c r="L145" s="444">
        <f t="shared" si="93"/>
        <v>0</v>
      </c>
      <c r="M145" s="444"/>
      <c r="N145" s="444">
        <f t="shared" si="93"/>
        <v>0</v>
      </c>
      <c r="O145" s="444"/>
      <c r="P145" s="444">
        <f t="shared" si="93"/>
        <v>0</v>
      </c>
      <c r="Q145" s="444"/>
      <c r="R145" s="444">
        <f t="shared" si="93"/>
        <v>0</v>
      </c>
      <c r="S145" s="444"/>
      <c r="T145" s="410">
        <f t="shared" si="90"/>
        <v>0</v>
      </c>
      <c r="U145" s="411" t="e">
        <f t="shared" si="91"/>
        <v>#DIV/0!</v>
      </c>
    </row>
    <row r="146" spans="1:23" ht="12.75" hidden="1" customHeight="1">
      <c r="A146" s="413" t="str">
        <f>A$10</f>
        <v>Publiskās attiecināmās izmaksas</v>
      </c>
      <c r="B146" s="311">
        <f>SUM(B141:B145)</f>
        <v>0</v>
      </c>
      <c r="C146" s="311"/>
      <c r="D146" s="311">
        <f t="shared" ref="D146:R146" si="94">SUM(D141:D145)</f>
        <v>0</v>
      </c>
      <c r="E146" s="311"/>
      <c r="F146" s="311">
        <f t="shared" si="94"/>
        <v>0</v>
      </c>
      <c r="G146" s="311"/>
      <c r="H146" s="311">
        <f t="shared" si="94"/>
        <v>0</v>
      </c>
      <c r="I146" s="311"/>
      <c r="J146" s="311">
        <f t="shared" si="94"/>
        <v>0</v>
      </c>
      <c r="K146" s="311"/>
      <c r="L146" s="311">
        <f t="shared" si="94"/>
        <v>0</v>
      </c>
      <c r="M146" s="311"/>
      <c r="N146" s="311">
        <f t="shared" si="94"/>
        <v>0</v>
      </c>
      <c r="O146" s="311"/>
      <c r="P146" s="311">
        <f t="shared" si="94"/>
        <v>0</v>
      </c>
      <c r="Q146" s="311"/>
      <c r="R146" s="311">
        <f t="shared" si="94"/>
        <v>0</v>
      </c>
      <c r="S146" s="311"/>
      <c r="T146" s="414">
        <f t="shared" si="90"/>
        <v>0</v>
      </c>
      <c r="U146" s="411" t="e">
        <f>T146/$T$148</f>
        <v>#DIV/0!</v>
      </c>
    </row>
    <row r="147" spans="1:23" ht="12.75" hidden="1" customHeight="1">
      <c r="A147" s="412" t="str">
        <f>A$11</f>
        <v>Privātās attiecināmās izmaksas</v>
      </c>
      <c r="B147" s="444" t="b">
        <f>IF($W$138=1,0,IF($W$138=3,IF($X$138=1,B148-B146,0)))</f>
        <v>0</v>
      </c>
      <c r="C147" s="444"/>
      <c r="D147" s="444" t="b">
        <f t="shared" ref="D147:R147" si="95">IF($W$138=1,0,IF($W$138=3,IF($X$138=1,D148-D146,0)))</f>
        <v>0</v>
      </c>
      <c r="E147" s="444"/>
      <c r="F147" s="444" t="b">
        <f t="shared" si="95"/>
        <v>0</v>
      </c>
      <c r="G147" s="444"/>
      <c r="H147" s="444" t="b">
        <f t="shared" si="95"/>
        <v>0</v>
      </c>
      <c r="I147" s="444"/>
      <c r="J147" s="444" t="b">
        <f t="shared" si="95"/>
        <v>0</v>
      </c>
      <c r="K147" s="444"/>
      <c r="L147" s="444" t="b">
        <f t="shared" si="95"/>
        <v>0</v>
      </c>
      <c r="M147" s="444"/>
      <c r="N147" s="444" t="b">
        <f t="shared" si="95"/>
        <v>0</v>
      </c>
      <c r="O147" s="444"/>
      <c r="P147" s="444" t="b">
        <f t="shared" si="95"/>
        <v>0</v>
      </c>
      <c r="Q147" s="444"/>
      <c r="R147" s="444" t="b">
        <f t="shared" si="95"/>
        <v>0</v>
      </c>
      <c r="S147" s="444"/>
      <c r="T147" s="410">
        <f t="shared" si="90"/>
        <v>0</v>
      </c>
      <c r="U147" s="411" t="e">
        <f t="shared" si="91"/>
        <v>#DIV/0!</v>
      </c>
    </row>
    <row r="148" spans="1:23" ht="12.75" hidden="1" customHeight="1">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hidden="1" customHeight="1">
      <c r="A149" s="412" t="str">
        <f>A$13</f>
        <v>Publiskās ārpusprojekta izmaksas</v>
      </c>
      <c r="B149" s="444" t="b">
        <f>IF($W138=1,B154,IF($W138=3,IF($X138=1,0,B154)))</f>
        <v>0</v>
      </c>
      <c r="C149" s="444"/>
      <c r="D149" s="444" t="b">
        <f t="shared" ref="D149:T149" si="96">IF($W138=1,D154,IF($W138=3,IF($X138=1,0,D154)))</f>
        <v>0</v>
      </c>
      <c r="E149" s="444"/>
      <c r="F149" s="444" t="b">
        <f t="shared" si="96"/>
        <v>0</v>
      </c>
      <c r="G149" s="444"/>
      <c r="H149" s="444" t="b">
        <f t="shared" si="96"/>
        <v>0</v>
      </c>
      <c r="I149" s="444"/>
      <c r="J149" s="444" t="b">
        <f t="shared" si="96"/>
        <v>0</v>
      </c>
      <c r="K149" s="444"/>
      <c r="L149" s="444" t="b">
        <f t="shared" si="96"/>
        <v>0</v>
      </c>
      <c r="M149" s="444"/>
      <c r="N149" s="444" t="b">
        <f t="shared" si="96"/>
        <v>0</v>
      </c>
      <c r="O149" s="444"/>
      <c r="P149" s="444" t="b">
        <f t="shared" si="96"/>
        <v>0</v>
      </c>
      <c r="Q149" s="444"/>
      <c r="R149" s="444" t="b">
        <f t="shared" si="96"/>
        <v>0</v>
      </c>
      <c r="S149" s="444"/>
      <c r="T149" s="444" t="b">
        <f t="shared" si="96"/>
        <v>0</v>
      </c>
      <c r="U149" s="445" t="s">
        <v>318</v>
      </c>
    </row>
    <row r="150" spans="1:23" ht="12.75" hidden="1" customHeight="1">
      <c r="A150" s="412" t="str">
        <f>A$14</f>
        <v>Privātās ārpusprojekta izmaksas</v>
      </c>
      <c r="B150" s="444">
        <f>IF($X138=2,0,IF($X138=1,B154,IF($W138=1,0,IF($W138=3,B154,0))))</f>
        <v>0</v>
      </c>
      <c r="C150" s="444"/>
      <c r="D150" s="444">
        <f t="shared" ref="D150:T150" si="97">IF($X138=2,0,IF($X138=1,D154,IF($W138=1,0,IF($W138=3,D154,0))))</f>
        <v>0</v>
      </c>
      <c r="E150" s="444"/>
      <c r="F150" s="444">
        <f t="shared" si="97"/>
        <v>0</v>
      </c>
      <c r="G150" s="444"/>
      <c r="H150" s="444">
        <f t="shared" si="97"/>
        <v>0</v>
      </c>
      <c r="I150" s="444"/>
      <c r="J150" s="444">
        <f t="shared" si="97"/>
        <v>0</v>
      </c>
      <c r="K150" s="444"/>
      <c r="L150" s="444">
        <f t="shared" si="97"/>
        <v>0</v>
      </c>
      <c r="M150" s="444"/>
      <c r="N150" s="444">
        <f t="shared" si="97"/>
        <v>0</v>
      </c>
      <c r="O150" s="444"/>
      <c r="P150" s="444">
        <f t="shared" si="97"/>
        <v>0</v>
      </c>
      <c r="Q150" s="444"/>
      <c r="R150" s="444">
        <f t="shared" si="97"/>
        <v>0</v>
      </c>
      <c r="S150" s="444"/>
      <c r="T150" s="444">
        <f t="shared" si="97"/>
        <v>0</v>
      </c>
      <c r="U150" s="445" t="s">
        <v>318</v>
      </c>
    </row>
    <row r="151" spans="1:23" ht="12.75" hidden="1" customHeight="1">
      <c r="A151" s="413" t="str">
        <f>A$15</f>
        <v>Ārpusprojekta izmaksas kopā</v>
      </c>
      <c r="B151" s="311">
        <f>SUM(B149:B150)</f>
        <v>0</v>
      </c>
      <c r="C151" s="311"/>
      <c r="D151" s="311">
        <f t="shared" ref="D151:R151" si="98">SUM(D149:D150)</f>
        <v>0</v>
      </c>
      <c r="E151" s="311"/>
      <c r="F151" s="311">
        <f t="shared" si="98"/>
        <v>0</v>
      </c>
      <c r="G151" s="311"/>
      <c r="H151" s="311">
        <f t="shared" si="98"/>
        <v>0</v>
      </c>
      <c r="I151" s="311"/>
      <c r="J151" s="311">
        <f t="shared" si="98"/>
        <v>0</v>
      </c>
      <c r="K151" s="311"/>
      <c r="L151" s="311">
        <f t="shared" si="98"/>
        <v>0</v>
      </c>
      <c r="M151" s="311"/>
      <c r="N151" s="311">
        <f t="shared" si="98"/>
        <v>0</v>
      </c>
      <c r="O151" s="311"/>
      <c r="P151" s="311">
        <f t="shared" si="98"/>
        <v>0</v>
      </c>
      <c r="Q151" s="311"/>
      <c r="R151" s="311">
        <f t="shared" si="98"/>
        <v>0</v>
      </c>
      <c r="S151" s="311"/>
      <c r="T151" s="414">
        <f t="shared" ref="T151" si="99">SUM(B151:R151)</f>
        <v>0</v>
      </c>
      <c r="U151" s="445" t="s">
        <v>318</v>
      </c>
    </row>
    <row r="152" spans="1:23" ht="12.75" hidden="1" customHeight="1">
      <c r="A152" s="418" t="str">
        <f>A$16</f>
        <v>Kopējās izmaksas</v>
      </c>
      <c r="B152" s="419">
        <f>B148+B151</f>
        <v>0</v>
      </c>
      <c r="C152" s="419"/>
      <c r="D152" s="419">
        <f t="shared" ref="D152:R152" si="100">D148+D151</f>
        <v>0</v>
      </c>
      <c r="E152" s="419"/>
      <c r="F152" s="419">
        <f t="shared" si="100"/>
        <v>0</v>
      </c>
      <c r="G152" s="419"/>
      <c r="H152" s="419">
        <f t="shared" si="100"/>
        <v>0</v>
      </c>
      <c r="I152" s="419"/>
      <c r="J152" s="419">
        <f t="shared" si="100"/>
        <v>0</v>
      </c>
      <c r="K152" s="419"/>
      <c r="L152" s="419">
        <f t="shared" si="100"/>
        <v>0</v>
      </c>
      <c r="M152" s="419"/>
      <c r="N152" s="419">
        <f t="shared" si="100"/>
        <v>0</v>
      </c>
      <c r="O152" s="419"/>
      <c r="P152" s="419">
        <f t="shared" si="100"/>
        <v>0</v>
      </c>
      <c r="Q152" s="419"/>
      <c r="R152" s="419">
        <f t="shared" si="100"/>
        <v>0</v>
      </c>
      <c r="S152" s="419"/>
      <c r="T152" s="414">
        <f>SUM(B152:R152)</f>
        <v>0</v>
      </c>
      <c r="U152" s="445" t="s">
        <v>318</v>
      </c>
    </row>
    <row r="153" spans="1:23" ht="12.75" hidden="1" customHeight="1">
      <c r="A153" s="448" t="s">
        <v>335</v>
      </c>
      <c r="B153" s="449">
        <f>B148*$L$138*$W$20</f>
        <v>0</v>
      </c>
      <c r="C153" s="449"/>
      <c r="D153" s="449">
        <f t="shared" ref="D153:R153" si="101">D148*$L$138*$W$20</f>
        <v>0</v>
      </c>
      <c r="E153" s="449"/>
      <c r="F153" s="449">
        <f t="shared" si="101"/>
        <v>0</v>
      </c>
      <c r="G153" s="449"/>
      <c r="H153" s="449">
        <f t="shared" si="101"/>
        <v>0</v>
      </c>
      <c r="I153" s="449"/>
      <c r="J153" s="449">
        <f t="shared" si="101"/>
        <v>0</v>
      </c>
      <c r="K153" s="449"/>
      <c r="L153" s="449">
        <f t="shared" si="101"/>
        <v>0</v>
      </c>
      <c r="M153" s="449"/>
      <c r="N153" s="449">
        <f t="shared" si="101"/>
        <v>0</v>
      </c>
      <c r="O153" s="449"/>
      <c r="P153" s="449">
        <f t="shared" si="101"/>
        <v>0</v>
      </c>
      <c r="Q153" s="449"/>
      <c r="R153" s="449">
        <f t="shared" si="101"/>
        <v>0</v>
      </c>
      <c r="S153" s="449"/>
      <c r="T153" s="449">
        <f>IF(X138=1,0,SUM(B153:R153))</f>
        <v>0</v>
      </c>
      <c r="U153" s="457"/>
    </row>
    <row r="154" spans="1:23" ht="12.75" hidden="1" customHeight="1">
      <c r="A154" s="448" t="s">
        <v>320</v>
      </c>
      <c r="B154" s="449">
        <f>IF(B23=2,'1.2.1.C. Partneris-1'!I24,'1.2.1.C. Partneris-1'!I24*B23)</f>
        <v>0</v>
      </c>
      <c r="C154" s="449"/>
      <c r="D154" s="449">
        <f>IF(D23=2,'1.2.1.C. Partneris-1'!K24+'1.2.1.C. Partneris-1'!I24,'1.2.1.C. Partneris-1'!K24*D23)</f>
        <v>0</v>
      </c>
      <c r="E154" s="449"/>
      <c r="F154" s="449">
        <f>IF(F23=2,'1.2.1.C. Partneris-1'!M24+'1.2.1.C. Partneris-1'!K24+'1.2.1.C. Partneris-1'!I24,'1.2.1.C. Partneris-1'!M24*F23)</f>
        <v>0</v>
      </c>
      <c r="G154" s="449"/>
      <c r="H154" s="449">
        <f>IF(H23=2,'1.2.1.C. Partneris-1'!O24+'1.2.1.C. Partneris-1'!M24+'1.2.1.C. Partneris-1'!K24+'1.2.1.C. Partneris-1'!I24,'1.2.1.C.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c r="S154" s="449"/>
      <c r="T154" s="449"/>
      <c r="U154" s="457"/>
    </row>
    <row r="155" spans="1:23" hidden="1"/>
    <row r="156" spans="1:23" ht="24" hidden="1" customHeight="1">
      <c r="A156" s="450" t="s">
        <v>336</v>
      </c>
      <c r="B156" s="435">
        <f>'1.2.2.A. Partneris-2'!C3</f>
        <v>0</v>
      </c>
      <c r="C156" s="436"/>
      <c r="D156" s="436"/>
      <c r="E156" s="436"/>
      <c r="F156" s="435">
        <f>'1.2.2.A. Partneris-2'!H3</f>
        <v>0</v>
      </c>
      <c r="G156" s="436"/>
      <c r="H156" s="437"/>
      <c r="I156" s="436"/>
      <c r="J156" s="437" t="s">
        <v>325</v>
      </c>
      <c r="K156" s="436"/>
      <c r="L156" s="439">
        <f>'1.2.2.A. Partneris-2'!C24</f>
        <v>0.85</v>
      </c>
      <c r="M156" s="436"/>
      <c r="N156" s="440" t="s">
        <v>331</v>
      </c>
      <c r="O156" s="436"/>
      <c r="P156" s="437"/>
      <c r="Q156" s="436"/>
      <c r="R156" s="437"/>
      <c r="S156" s="436"/>
      <c r="T156" s="437"/>
      <c r="U156" s="437"/>
      <c r="W156" s="4">
        <f>IF(F156=Dati!$J$3,1,IF(F156=Dati!$J$4,2,IF(F156=Dati!$J$5,3,0)))</f>
        <v>0</v>
      </c>
    </row>
    <row r="157" spans="1:23" hidden="1">
      <c r="A157" s="406" t="s">
        <v>310</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hidden="1">
      <c r="A158" s="441"/>
      <c r="B158" s="408" t="s">
        <v>311</v>
      </c>
      <c r="C158" s="408"/>
      <c r="D158" s="408" t="s">
        <v>311</v>
      </c>
      <c r="E158" s="408"/>
      <c r="F158" s="408" t="s">
        <v>311</v>
      </c>
      <c r="G158" s="408"/>
      <c r="H158" s="408" t="s">
        <v>311</v>
      </c>
      <c r="I158" s="408"/>
      <c r="J158" s="408" t="s">
        <v>311</v>
      </c>
      <c r="K158" s="408"/>
      <c r="L158" s="408" t="s">
        <v>311</v>
      </c>
      <c r="M158" s="408"/>
      <c r="N158" s="408" t="s">
        <v>311</v>
      </c>
      <c r="O158" s="408"/>
      <c r="P158" s="408" t="s">
        <v>311</v>
      </c>
      <c r="Q158" s="408"/>
      <c r="R158" s="408" t="s">
        <v>311</v>
      </c>
      <c r="S158" s="408"/>
      <c r="T158" s="408" t="s">
        <v>190</v>
      </c>
      <c r="U158" s="408" t="s">
        <v>134</v>
      </c>
    </row>
    <row r="159" spans="1:23" ht="12.75" hidden="1" customHeight="1">
      <c r="A159" s="442" t="str">
        <f>A$5</f>
        <v>Eiropas Reģionālās attīstības fonds</v>
      </c>
      <c r="B159" s="443">
        <f>(B166*$L$156)*$W$19-B163</f>
        <v>0</v>
      </c>
      <c r="C159" s="443"/>
      <c r="D159" s="443">
        <f t="shared" ref="D159:P159" si="102">(D166*$L$156)*$W$19-D163</f>
        <v>0</v>
      </c>
      <c r="E159" s="443"/>
      <c r="F159" s="443">
        <f t="shared" si="102"/>
        <v>0</v>
      </c>
      <c r="G159" s="443"/>
      <c r="H159" s="443">
        <f t="shared" si="102"/>
        <v>0</v>
      </c>
      <c r="I159" s="443"/>
      <c r="J159" s="443">
        <f t="shared" si="102"/>
        <v>0</v>
      </c>
      <c r="K159" s="443"/>
      <c r="L159" s="443">
        <f t="shared" si="102"/>
        <v>0</v>
      </c>
      <c r="M159" s="443"/>
      <c r="N159" s="443">
        <f t="shared" si="102"/>
        <v>0</v>
      </c>
      <c r="O159" s="443"/>
      <c r="P159" s="443">
        <f t="shared" si="102"/>
        <v>0</v>
      </c>
      <c r="Q159" s="443"/>
      <c r="R159" s="443">
        <f t="shared" ref="R159" si="103">(R166*$L$156-R163)*$W$19</f>
        <v>0</v>
      </c>
      <c r="S159" s="443"/>
      <c r="T159" s="410">
        <f t="shared" ref="T159:T166" si="104">SUM(B159:R159)</f>
        <v>0</v>
      </c>
      <c r="U159" s="411" t="e">
        <f>T159/$T$166</f>
        <v>#DIV/0!</v>
      </c>
    </row>
    <row r="160" spans="1:23" ht="12.75" hidden="1" customHeight="1">
      <c r="A160" s="412" t="str">
        <f>A$6</f>
        <v>Attiecināmais valsts budžeta finansējums</v>
      </c>
      <c r="B160" s="443">
        <f>IF($W156=2,B166-B159-B163,0)</f>
        <v>0</v>
      </c>
      <c r="C160" s="443"/>
      <c r="D160" s="443">
        <f t="shared" ref="D160" si="105">IF($W156=2,D166-D159-D163,0)</f>
        <v>0</v>
      </c>
      <c r="E160" s="443"/>
      <c r="F160" s="443">
        <f t="shared" ref="F160" si="106">IF($W156=2,F166-F159-F163,0)</f>
        <v>0</v>
      </c>
      <c r="G160" s="443"/>
      <c r="H160" s="443">
        <f t="shared" ref="H160" si="107">IF($W156=2,H166-H159-H163,0)</f>
        <v>0</v>
      </c>
      <c r="I160" s="443"/>
      <c r="J160" s="443">
        <f t="shared" ref="J160" si="108">IF($W156=2,J166-J159-J163,0)</f>
        <v>0</v>
      </c>
      <c r="K160" s="443"/>
      <c r="L160" s="443">
        <f t="shared" ref="L160" si="109">IF($W156=2,L166-L159-L163,0)</f>
        <v>0</v>
      </c>
      <c r="M160" s="443"/>
      <c r="N160" s="443">
        <f t="shared" ref="N160" si="110">IF($W156=2,N166-N159-N163,0)</f>
        <v>0</v>
      </c>
      <c r="O160" s="443"/>
      <c r="P160" s="443">
        <f t="shared" ref="P160" si="111">IF($W156=2,P166-P159-P163,0)</f>
        <v>0</v>
      </c>
      <c r="Q160" s="443"/>
      <c r="R160" s="443">
        <f t="shared" ref="R160" si="112">IF($W156=2,R166-R159-R163,0)</f>
        <v>0</v>
      </c>
      <c r="S160" s="443"/>
      <c r="T160" s="410">
        <f t="shared" si="104"/>
        <v>0</v>
      </c>
      <c r="U160" s="411" t="e">
        <f t="shared" ref="U160:U166" si="113">T160/$T$166</f>
        <v>#DIV/0!</v>
      </c>
    </row>
    <row r="161" spans="1:23" ht="12.75" hidden="1" customHeight="1">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104"/>
        <v>0</v>
      </c>
      <c r="U161" s="411" t="e">
        <f t="shared" si="113"/>
        <v>#DIV/0!</v>
      </c>
    </row>
    <row r="162" spans="1:23" ht="12.75" hidden="1" customHeight="1">
      <c r="A162" s="412" t="str">
        <f>A$8</f>
        <v>Pašvaldības finansējums</v>
      </c>
      <c r="B162" s="444">
        <f>IF($W156=1,B166-B159-B161-B163,0)</f>
        <v>0</v>
      </c>
      <c r="C162" s="444"/>
      <c r="D162" s="444">
        <f t="shared" ref="D162:R162" si="114">IF($W156=1,D166-D159-D161-D163,0)</f>
        <v>0</v>
      </c>
      <c r="E162" s="444"/>
      <c r="F162" s="444">
        <f t="shared" si="114"/>
        <v>0</v>
      </c>
      <c r="G162" s="444"/>
      <c r="H162" s="444">
        <f t="shared" si="114"/>
        <v>0</v>
      </c>
      <c r="I162" s="444"/>
      <c r="J162" s="444">
        <f t="shared" si="114"/>
        <v>0</v>
      </c>
      <c r="K162" s="444"/>
      <c r="L162" s="444">
        <f t="shared" si="114"/>
        <v>0</v>
      </c>
      <c r="M162" s="444"/>
      <c r="N162" s="444">
        <f t="shared" si="114"/>
        <v>0</v>
      </c>
      <c r="O162" s="444"/>
      <c r="P162" s="444">
        <f t="shared" si="114"/>
        <v>0</v>
      </c>
      <c r="Q162" s="444"/>
      <c r="R162" s="444">
        <f t="shared" si="114"/>
        <v>0</v>
      </c>
      <c r="S162" s="444"/>
      <c r="T162" s="410">
        <f t="shared" si="104"/>
        <v>0</v>
      </c>
      <c r="U162" s="411" t="e">
        <f t="shared" si="113"/>
        <v>#DIV/0!</v>
      </c>
    </row>
    <row r="163" spans="1:23" s="3" customFormat="1" ht="12.75" hidden="1" customHeight="1">
      <c r="A163" s="412" t="str">
        <f>A$9</f>
        <v xml:space="preserve">Elastības finansējuma apjoms </v>
      </c>
      <c r="B163" s="444">
        <f>B166*$L$156*$W$20</f>
        <v>0</v>
      </c>
      <c r="C163" s="444"/>
      <c r="D163" s="444">
        <f t="shared" ref="D163:R163" si="115">D166*$L$156*$W$20</f>
        <v>0</v>
      </c>
      <c r="E163" s="444"/>
      <c r="F163" s="444">
        <f t="shared" si="115"/>
        <v>0</v>
      </c>
      <c r="G163" s="444"/>
      <c r="H163" s="444">
        <f t="shared" si="115"/>
        <v>0</v>
      </c>
      <c r="I163" s="444"/>
      <c r="J163" s="444">
        <f t="shared" si="115"/>
        <v>0</v>
      </c>
      <c r="K163" s="444"/>
      <c r="L163" s="444">
        <f t="shared" si="115"/>
        <v>0</v>
      </c>
      <c r="M163" s="444"/>
      <c r="N163" s="444">
        <f t="shared" si="115"/>
        <v>0</v>
      </c>
      <c r="O163" s="444"/>
      <c r="P163" s="444">
        <f t="shared" si="115"/>
        <v>0</v>
      </c>
      <c r="Q163" s="444"/>
      <c r="R163" s="444">
        <f t="shared" si="115"/>
        <v>0</v>
      </c>
      <c r="S163" s="444"/>
      <c r="T163" s="410">
        <f t="shared" si="104"/>
        <v>0</v>
      </c>
      <c r="U163" s="411" t="e">
        <f t="shared" si="113"/>
        <v>#DIV/0!</v>
      </c>
    </row>
    <row r="164" spans="1:23" ht="12.75" hidden="1" customHeight="1">
      <c r="A164" s="413" t="str">
        <f>A$10</f>
        <v>Publiskās attiecināmās izmaksas</v>
      </c>
      <c r="B164" s="311">
        <f>SUM(B159:B163)</f>
        <v>0</v>
      </c>
      <c r="C164" s="311"/>
      <c r="D164" s="311">
        <f t="shared" ref="D164:R164" si="116">SUM(D159:D163)</f>
        <v>0</v>
      </c>
      <c r="E164" s="311"/>
      <c r="F164" s="311">
        <f t="shared" si="116"/>
        <v>0</v>
      </c>
      <c r="G164" s="311"/>
      <c r="H164" s="311">
        <f t="shared" si="116"/>
        <v>0</v>
      </c>
      <c r="I164" s="311"/>
      <c r="J164" s="311">
        <f t="shared" si="116"/>
        <v>0</v>
      </c>
      <c r="K164" s="311"/>
      <c r="L164" s="311">
        <f t="shared" si="116"/>
        <v>0</v>
      </c>
      <c r="M164" s="311"/>
      <c r="N164" s="311">
        <f t="shared" si="116"/>
        <v>0</v>
      </c>
      <c r="O164" s="311"/>
      <c r="P164" s="311">
        <f t="shared" si="116"/>
        <v>0</v>
      </c>
      <c r="Q164" s="311"/>
      <c r="R164" s="311">
        <f t="shared" si="116"/>
        <v>0</v>
      </c>
      <c r="S164" s="311"/>
      <c r="T164" s="414">
        <f t="shared" si="104"/>
        <v>0</v>
      </c>
      <c r="U164" s="411" t="e">
        <f t="shared" si="113"/>
        <v>#DIV/0!</v>
      </c>
    </row>
    <row r="165" spans="1:23" ht="12.75" hidden="1" customHeight="1">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104"/>
        <v>0</v>
      </c>
      <c r="U165" s="411" t="e">
        <f t="shared" si="113"/>
        <v>#DIV/0!</v>
      </c>
    </row>
    <row r="166" spans="1:23" ht="12.75" hidden="1" customHeight="1">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104"/>
        <v>0</v>
      </c>
      <c r="U166" s="411" t="e">
        <f t="shared" si="113"/>
        <v>#DIV/0!</v>
      </c>
    </row>
    <row r="167" spans="1:23" ht="12.75" hidden="1" customHeight="1">
      <c r="A167" s="412" t="str">
        <f>A$13</f>
        <v>Publiskās ārpusprojekta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117">SUM(B167:R167)</f>
        <v>0</v>
      </c>
      <c r="U167" s="445" t="s">
        <v>318</v>
      </c>
    </row>
    <row r="168" spans="1:23" ht="12.75" hidden="1" customHeight="1">
      <c r="A168" s="412" t="str">
        <f>A$14</f>
        <v>Privātās ārpusprojekta izmaksas</v>
      </c>
      <c r="B168" s="446"/>
      <c r="C168" s="446"/>
      <c r="D168" s="446"/>
      <c r="E168" s="446"/>
      <c r="F168" s="446"/>
      <c r="G168" s="446"/>
      <c r="H168" s="446"/>
      <c r="I168" s="446"/>
      <c r="J168" s="446"/>
      <c r="K168" s="446"/>
      <c r="L168" s="446"/>
      <c r="M168" s="446"/>
      <c r="N168" s="446"/>
      <c r="O168" s="446"/>
      <c r="P168" s="446"/>
      <c r="Q168" s="446"/>
      <c r="R168" s="446"/>
      <c r="S168" s="446"/>
      <c r="T168" s="410">
        <f t="shared" si="117"/>
        <v>0</v>
      </c>
      <c r="U168" s="445" t="s">
        <v>318</v>
      </c>
    </row>
    <row r="169" spans="1:23" ht="12.75" hidden="1" customHeight="1">
      <c r="A169" s="413" t="str">
        <f>A$15</f>
        <v>Ārpusprojekta izmaksas kopā</v>
      </c>
      <c r="B169" s="311">
        <f>SUM(B167:B168)</f>
        <v>0</v>
      </c>
      <c r="C169" s="311"/>
      <c r="D169" s="311">
        <f t="shared" ref="D169:R169" si="118">SUM(D167:D168)</f>
        <v>0</v>
      </c>
      <c r="E169" s="311"/>
      <c r="F169" s="311">
        <f t="shared" si="118"/>
        <v>0</v>
      </c>
      <c r="G169" s="311"/>
      <c r="H169" s="311">
        <f t="shared" si="118"/>
        <v>0</v>
      </c>
      <c r="I169" s="311"/>
      <c r="J169" s="311">
        <f t="shared" si="118"/>
        <v>0</v>
      </c>
      <c r="K169" s="311"/>
      <c r="L169" s="311">
        <f t="shared" si="118"/>
        <v>0</v>
      </c>
      <c r="M169" s="311"/>
      <c r="N169" s="311">
        <f t="shared" si="118"/>
        <v>0</v>
      </c>
      <c r="O169" s="311"/>
      <c r="P169" s="311">
        <f t="shared" si="118"/>
        <v>0</v>
      </c>
      <c r="Q169" s="311"/>
      <c r="R169" s="311">
        <f t="shared" si="118"/>
        <v>0</v>
      </c>
      <c r="S169" s="311"/>
      <c r="T169" s="414">
        <f t="shared" si="117"/>
        <v>0</v>
      </c>
      <c r="U169" s="445" t="s">
        <v>318</v>
      </c>
    </row>
    <row r="170" spans="1:23" ht="12.75" hidden="1" customHeight="1">
      <c r="A170" s="418" t="str">
        <f>A$16</f>
        <v>Kopējās izmaksas</v>
      </c>
      <c r="B170" s="419">
        <f>B166+B169</f>
        <v>0</v>
      </c>
      <c r="C170" s="419"/>
      <c r="D170" s="419">
        <f t="shared" ref="D170:R170" si="119">D166+D169</f>
        <v>0</v>
      </c>
      <c r="E170" s="419"/>
      <c r="F170" s="419">
        <f t="shared" si="119"/>
        <v>0</v>
      </c>
      <c r="G170" s="419"/>
      <c r="H170" s="419">
        <f t="shared" si="119"/>
        <v>0</v>
      </c>
      <c r="I170" s="419"/>
      <c r="J170" s="419">
        <f t="shared" si="119"/>
        <v>0</v>
      </c>
      <c r="K170" s="419"/>
      <c r="L170" s="419">
        <f t="shared" si="119"/>
        <v>0</v>
      </c>
      <c r="M170" s="419"/>
      <c r="N170" s="419">
        <f t="shared" si="119"/>
        <v>0</v>
      </c>
      <c r="O170" s="419"/>
      <c r="P170" s="419">
        <f t="shared" si="119"/>
        <v>0</v>
      </c>
      <c r="Q170" s="419"/>
      <c r="R170" s="419">
        <f t="shared" si="119"/>
        <v>0</v>
      </c>
      <c r="S170" s="419"/>
      <c r="T170" s="421">
        <f t="shared" si="117"/>
        <v>0</v>
      </c>
      <c r="U170" s="445" t="s">
        <v>318</v>
      </c>
    </row>
    <row r="171" spans="1:23" ht="12.75" hidden="1"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hidden="1" customHeight="1">
      <c r="A172" s="450" t="s">
        <v>336</v>
      </c>
      <c r="B172" s="435">
        <f>'1.2.2.B. Partneris-2'!C3</f>
        <v>0</v>
      </c>
      <c r="C172" s="436"/>
      <c r="D172" s="436"/>
      <c r="E172" s="436"/>
      <c r="F172" s="435">
        <f>'1.2.2.B. Partneris-2'!H3</f>
        <v>0</v>
      </c>
      <c r="G172" s="436"/>
      <c r="H172" s="437"/>
      <c r="I172" s="436"/>
      <c r="J172" s="437" t="s">
        <v>325</v>
      </c>
      <c r="K172" s="436"/>
      <c r="L172" s="439">
        <f>'11. DL 4.pielikums'!$E$43</f>
        <v>0</v>
      </c>
      <c r="M172" s="436"/>
      <c r="N172" s="440" t="s">
        <v>332</v>
      </c>
      <c r="O172" s="436"/>
      <c r="P172" s="437"/>
      <c r="Q172" s="436"/>
      <c r="R172" s="437"/>
      <c r="S172" s="436"/>
      <c r="T172" s="437"/>
      <c r="U172" s="437"/>
      <c r="W172" s="4">
        <f>IF(F172=Dati!$J$3,1,IF(F172=Dati!$J$4,2,IF(F172=Dati!$J$5,3,0)))</f>
        <v>0</v>
      </c>
    </row>
    <row r="173" spans="1:23" ht="12.75" hidden="1" customHeight="1">
      <c r="A173" s="406" t="s">
        <v>310</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hidden="1">
      <c r="A174" s="441"/>
      <c r="B174" s="408" t="s">
        <v>311</v>
      </c>
      <c r="C174" s="408"/>
      <c r="D174" s="408" t="s">
        <v>311</v>
      </c>
      <c r="E174" s="408"/>
      <c r="F174" s="408" t="s">
        <v>311</v>
      </c>
      <c r="G174" s="408"/>
      <c r="H174" s="408" t="s">
        <v>311</v>
      </c>
      <c r="I174" s="408"/>
      <c r="J174" s="408" t="s">
        <v>311</v>
      </c>
      <c r="K174" s="408"/>
      <c r="L174" s="408" t="s">
        <v>311</v>
      </c>
      <c r="M174" s="408"/>
      <c r="N174" s="408" t="s">
        <v>311</v>
      </c>
      <c r="O174" s="408"/>
      <c r="P174" s="408" t="s">
        <v>311</v>
      </c>
      <c r="Q174" s="408"/>
      <c r="R174" s="408" t="s">
        <v>311</v>
      </c>
      <c r="S174" s="408"/>
      <c r="T174" s="408" t="s">
        <v>190</v>
      </c>
      <c r="U174" s="408" t="s">
        <v>134</v>
      </c>
    </row>
    <row r="175" spans="1:23" ht="12.75" hidden="1" customHeight="1">
      <c r="A175" s="442" t="str">
        <f>A$5</f>
        <v>Eiropas Reģionālās attīstības fonds</v>
      </c>
      <c r="B175" s="443">
        <f>(B182*$L$172)*$W$19-B179</f>
        <v>0</v>
      </c>
      <c r="C175" s="443"/>
      <c r="D175" s="443">
        <f t="shared" ref="D175:P175" si="120">(D182*$L$172)*$W$19-D179</f>
        <v>0</v>
      </c>
      <c r="E175" s="443"/>
      <c r="F175" s="443">
        <f t="shared" si="120"/>
        <v>0</v>
      </c>
      <c r="G175" s="443"/>
      <c r="H175" s="443">
        <f t="shared" si="120"/>
        <v>0</v>
      </c>
      <c r="I175" s="443"/>
      <c r="J175" s="443">
        <f t="shared" si="120"/>
        <v>0</v>
      </c>
      <c r="K175" s="443"/>
      <c r="L175" s="443">
        <f t="shared" si="120"/>
        <v>0</v>
      </c>
      <c r="M175" s="443"/>
      <c r="N175" s="443">
        <f t="shared" si="120"/>
        <v>0</v>
      </c>
      <c r="O175" s="443"/>
      <c r="P175" s="443">
        <f t="shared" si="120"/>
        <v>0</v>
      </c>
      <c r="Q175" s="443"/>
      <c r="R175" s="443">
        <f t="shared" ref="R175" si="121">(R182*$L$172-R179)*$W$19</f>
        <v>0</v>
      </c>
      <c r="S175" s="443"/>
      <c r="T175" s="410">
        <f t="shared" ref="T175:T181" si="122">SUM(B175:R175)</f>
        <v>0</v>
      </c>
      <c r="U175" s="411" t="e">
        <f>T175/$T$182</f>
        <v>#DIV/0!</v>
      </c>
    </row>
    <row r="176" spans="1:23" ht="12.75" hidden="1" customHeight="1">
      <c r="A176" s="412" t="str">
        <f>A$6</f>
        <v>Attiecināmais valsts budžeta finansējums</v>
      </c>
      <c r="B176" s="443">
        <f>IF($W172=2,B182-B175,0)</f>
        <v>0</v>
      </c>
      <c r="C176" s="443"/>
      <c r="D176" s="443">
        <f t="shared" ref="D176:R176" si="123">IF($W172=2,D182-D175,0)</f>
        <v>0</v>
      </c>
      <c r="E176" s="443"/>
      <c r="F176" s="443">
        <f t="shared" si="123"/>
        <v>0</v>
      </c>
      <c r="G176" s="443"/>
      <c r="H176" s="443">
        <f t="shared" si="123"/>
        <v>0</v>
      </c>
      <c r="I176" s="443"/>
      <c r="J176" s="443">
        <f t="shared" si="123"/>
        <v>0</v>
      </c>
      <c r="K176" s="443"/>
      <c r="L176" s="443">
        <f t="shared" si="123"/>
        <v>0</v>
      </c>
      <c r="M176" s="443"/>
      <c r="N176" s="443">
        <f t="shared" si="123"/>
        <v>0</v>
      </c>
      <c r="O176" s="443"/>
      <c r="P176" s="443">
        <f t="shared" si="123"/>
        <v>0</v>
      </c>
      <c r="Q176" s="443"/>
      <c r="R176" s="443">
        <f t="shared" si="123"/>
        <v>0</v>
      </c>
      <c r="S176" s="443"/>
      <c r="T176" s="410">
        <f t="shared" si="122"/>
        <v>0</v>
      </c>
      <c r="U176" s="411" t="e">
        <f t="shared" ref="U176:U182" si="124">T176/$T$182</f>
        <v>#DIV/0!</v>
      </c>
    </row>
    <row r="177" spans="1:23" ht="12.75" hidden="1" customHeight="1">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122"/>
        <v>0</v>
      </c>
      <c r="U177" s="411" t="e">
        <f t="shared" si="124"/>
        <v>#DIV/0!</v>
      </c>
    </row>
    <row r="178" spans="1:23" ht="12.75" hidden="1" customHeight="1">
      <c r="A178" s="412" t="str">
        <f>A$8</f>
        <v>Pašvaldības finansējums</v>
      </c>
      <c r="B178" s="444">
        <f>IF($W172=1,B182-B175-B177-B181-B179,0)</f>
        <v>0</v>
      </c>
      <c r="C178" s="444"/>
      <c r="D178" s="444">
        <f t="shared" ref="D178:R178" si="125">IF($W172=1,D182-D175-D177-D181-D179,0)</f>
        <v>0</v>
      </c>
      <c r="E178" s="444"/>
      <c r="F178" s="444">
        <f t="shared" si="125"/>
        <v>0</v>
      </c>
      <c r="G178" s="444"/>
      <c r="H178" s="444">
        <f t="shared" si="125"/>
        <v>0</v>
      </c>
      <c r="I178" s="444"/>
      <c r="J178" s="444">
        <f t="shared" si="125"/>
        <v>0</v>
      </c>
      <c r="K178" s="444"/>
      <c r="L178" s="444">
        <f t="shared" si="125"/>
        <v>0</v>
      </c>
      <c r="M178" s="444"/>
      <c r="N178" s="444">
        <f t="shared" si="125"/>
        <v>0</v>
      </c>
      <c r="O178" s="444"/>
      <c r="P178" s="444">
        <f t="shared" si="125"/>
        <v>0</v>
      </c>
      <c r="Q178" s="444"/>
      <c r="R178" s="444">
        <f t="shared" si="125"/>
        <v>0</v>
      </c>
      <c r="S178" s="444"/>
      <c r="T178" s="410">
        <f t="shared" si="122"/>
        <v>0</v>
      </c>
      <c r="U178" s="411" t="e">
        <f t="shared" si="124"/>
        <v>#DIV/0!</v>
      </c>
    </row>
    <row r="179" spans="1:23" s="3" customFormat="1" ht="12.75" hidden="1" customHeight="1">
      <c r="A179" s="412" t="str">
        <f>A$9</f>
        <v xml:space="preserve">Elastības finansējuma apjoms </v>
      </c>
      <c r="B179" s="444">
        <f>B182*$L$172*$W$20</f>
        <v>0</v>
      </c>
      <c r="C179" s="444"/>
      <c r="D179" s="444">
        <f t="shared" ref="D179:R179" si="126">D182*$L$172*$W$20</f>
        <v>0</v>
      </c>
      <c r="E179" s="444"/>
      <c r="F179" s="444">
        <f t="shared" si="126"/>
        <v>0</v>
      </c>
      <c r="G179" s="444"/>
      <c r="H179" s="444">
        <f t="shared" si="126"/>
        <v>0</v>
      </c>
      <c r="I179" s="444"/>
      <c r="J179" s="444">
        <f t="shared" si="126"/>
        <v>0</v>
      </c>
      <c r="K179" s="444"/>
      <c r="L179" s="444">
        <f t="shared" si="126"/>
        <v>0</v>
      </c>
      <c r="M179" s="444"/>
      <c r="N179" s="444">
        <f t="shared" si="126"/>
        <v>0</v>
      </c>
      <c r="O179" s="444"/>
      <c r="P179" s="444">
        <f t="shared" si="126"/>
        <v>0</v>
      </c>
      <c r="Q179" s="444"/>
      <c r="R179" s="444">
        <f t="shared" si="126"/>
        <v>0</v>
      </c>
      <c r="S179" s="444"/>
      <c r="T179" s="410">
        <f t="shared" si="122"/>
        <v>0</v>
      </c>
      <c r="U179" s="411" t="e">
        <f t="shared" si="124"/>
        <v>#DIV/0!</v>
      </c>
    </row>
    <row r="180" spans="1:23" ht="12.75" hidden="1" customHeight="1">
      <c r="A180" s="413" t="str">
        <f>A$10</f>
        <v>Publiskās attiecināmās izmaksas</v>
      </c>
      <c r="B180" s="311">
        <f>SUM(B175:B179)</f>
        <v>0</v>
      </c>
      <c r="C180" s="311"/>
      <c r="D180" s="311">
        <f t="shared" ref="D180:R180" si="127">SUM(D175:D179)</f>
        <v>0</v>
      </c>
      <c r="E180" s="311"/>
      <c r="F180" s="311">
        <f t="shared" si="127"/>
        <v>0</v>
      </c>
      <c r="G180" s="311"/>
      <c r="H180" s="311">
        <f t="shared" si="127"/>
        <v>0</v>
      </c>
      <c r="I180" s="311"/>
      <c r="J180" s="311">
        <f t="shared" si="127"/>
        <v>0</v>
      </c>
      <c r="K180" s="311"/>
      <c r="L180" s="311">
        <f t="shared" si="127"/>
        <v>0</v>
      </c>
      <c r="M180" s="311"/>
      <c r="N180" s="311">
        <f t="shared" si="127"/>
        <v>0</v>
      </c>
      <c r="O180" s="311"/>
      <c r="P180" s="311">
        <f t="shared" si="127"/>
        <v>0</v>
      </c>
      <c r="Q180" s="311"/>
      <c r="R180" s="311">
        <f t="shared" si="127"/>
        <v>0</v>
      </c>
      <c r="S180" s="311"/>
      <c r="T180" s="414">
        <f t="shared" si="122"/>
        <v>0</v>
      </c>
      <c r="U180" s="411" t="e">
        <f t="shared" si="124"/>
        <v>#DIV/0!</v>
      </c>
    </row>
    <row r="181" spans="1:23" ht="12.75" hidden="1" customHeight="1">
      <c r="A181" s="412" t="str">
        <f>A$11</f>
        <v>Privātās attiecināmās izmaksas</v>
      </c>
      <c r="B181" s="444">
        <f>IF($W$172=1,B182*'11. DL 4.pielikums'!$G$35-'9. DL PI Fin.plans'!B182*'9. DL PI Fin.plans'!$L$172,B182-B175-B176-B177-B178-B179)</f>
        <v>0</v>
      </c>
      <c r="C181" s="444"/>
      <c r="D181" s="444">
        <f>IF($W$172=1,D182*'11. DL 4.pielikums'!$G$35-'9. DL PI Fin.plans'!D182*'9. DL PI Fin.plans'!$L$172,D182-D175-D176-D177-D178-D179)</f>
        <v>0</v>
      </c>
      <c r="E181" s="444"/>
      <c r="F181" s="444">
        <f>IF($W$172=1,F182*'11. DL 4.pielikums'!$G$35-'9. DL PI Fin.plans'!F182*'9. DL PI Fin.plans'!$L$172,F182-F175-F176-F177-F178-F179)</f>
        <v>0</v>
      </c>
      <c r="G181" s="444"/>
      <c r="H181" s="444">
        <f>IF($W$172=1,H182*'11. DL 4.pielikums'!$G$35-'9. DL PI Fin.plans'!H182*'9. DL PI Fin.plans'!$L$172,H182-H175-H176-H177-H178-H179)</f>
        <v>0</v>
      </c>
      <c r="I181" s="444"/>
      <c r="J181" s="444">
        <f>IF($W$172=1,J182*'11. DL 4.pielikums'!$G$35-'9. DL PI Fin.plans'!J182*'9. DL PI Fin.plans'!$L$172,J182-J175-J176-J177-J178-J179)</f>
        <v>0</v>
      </c>
      <c r="K181" s="444"/>
      <c r="L181" s="444">
        <f>IF($W$172=1,L182*'11. DL 4.pielikums'!$G$35-'9. DL PI Fin.plans'!L182*'9. DL PI Fin.plans'!$L$172,L182-L175-L176-L177-L178-L179)</f>
        <v>0</v>
      </c>
      <c r="M181" s="444"/>
      <c r="N181" s="444">
        <f>IF($W$172=1,N182*'11. DL 4.pielikums'!$G$35-'9. DL PI Fin.plans'!N182*'9. DL PI Fin.plans'!$L$172,N182-N175-N176-N177-N178-N179)</f>
        <v>0</v>
      </c>
      <c r="O181" s="444"/>
      <c r="P181" s="444">
        <f>IF($W$172=1,P182*'11. DL 4.pielikums'!$G$35-'9. DL PI Fin.plans'!P182*'9. DL PI Fin.plans'!$L$172,P182-P175-P176-P177-P178-P179)</f>
        <v>0</v>
      </c>
      <c r="Q181" s="444"/>
      <c r="R181" s="444">
        <f>IF($W$172=1,R182*'11. DL 4.pielikums'!$G$35-'9. DL PI Fin.plans'!R182*'9. DL PI Fin.plans'!$L$172,R182-R175-R176-R177-R178-R179)</f>
        <v>0</v>
      </c>
      <c r="S181" s="444"/>
      <c r="T181" s="410">
        <f t="shared" si="122"/>
        <v>0</v>
      </c>
      <c r="U181" s="411" t="e">
        <f t="shared" si="124"/>
        <v>#DIV/0!</v>
      </c>
    </row>
    <row r="182" spans="1:23" ht="12.75" hidden="1" customHeight="1">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24"/>
        <v>#DIV/0!</v>
      </c>
    </row>
    <row r="183" spans="1:23" ht="12.75" hidden="1" customHeight="1">
      <c r="A183" s="412" t="str">
        <f>A$13</f>
        <v>Publiskās ārpusprojekta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28">SUM(B183:R183)</f>
        <v>0</v>
      </c>
      <c r="U183" s="445" t="s">
        <v>318</v>
      </c>
    </row>
    <row r="184" spans="1:23" ht="12.75" hidden="1" customHeight="1">
      <c r="A184" s="412" t="str">
        <f>A$14</f>
        <v>Privātās ārpusprojekta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28"/>
        <v>0</v>
      </c>
      <c r="U184" s="445" t="s">
        <v>318</v>
      </c>
    </row>
    <row r="185" spans="1:23" ht="12.75" hidden="1" customHeight="1">
      <c r="A185" s="413" t="str">
        <f>A$15</f>
        <v>Ārpusprojekta izmaksas kopā</v>
      </c>
      <c r="B185" s="311">
        <f>SUM(B183:B184)</f>
        <v>0</v>
      </c>
      <c r="C185" s="311"/>
      <c r="D185" s="311">
        <f t="shared" ref="D185:R185" si="129">SUM(D183:D184)</f>
        <v>0</v>
      </c>
      <c r="E185" s="311"/>
      <c r="F185" s="311">
        <f t="shared" si="129"/>
        <v>0</v>
      </c>
      <c r="G185" s="311"/>
      <c r="H185" s="311">
        <f t="shared" si="129"/>
        <v>0</v>
      </c>
      <c r="I185" s="311"/>
      <c r="J185" s="311">
        <f t="shared" si="129"/>
        <v>0</v>
      </c>
      <c r="K185" s="311"/>
      <c r="L185" s="311">
        <f t="shared" si="129"/>
        <v>0</v>
      </c>
      <c r="M185" s="311"/>
      <c r="N185" s="311">
        <f t="shared" si="129"/>
        <v>0</v>
      </c>
      <c r="O185" s="311"/>
      <c r="P185" s="311">
        <f t="shared" si="129"/>
        <v>0</v>
      </c>
      <c r="Q185" s="311"/>
      <c r="R185" s="311">
        <f t="shared" si="129"/>
        <v>0</v>
      </c>
      <c r="S185" s="311"/>
      <c r="T185" s="414">
        <f t="shared" si="128"/>
        <v>0</v>
      </c>
      <c r="U185" s="445" t="s">
        <v>318</v>
      </c>
    </row>
    <row r="186" spans="1:23" ht="12.75" hidden="1" customHeight="1">
      <c r="A186" s="418" t="str">
        <f>A$16</f>
        <v>Kopējās izmaksas</v>
      </c>
      <c r="B186" s="419">
        <f>B182+B185</f>
        <v>0</v>
      </c>
      <c r="C186" s="419"/>
      <c r="D186" s="419">
        <f t="shared" ref="D186:R186" si="130">D182+D185</f>
        <v>0</v>
      </c>
      <c r="E186" s="419"/>
      <c r="F186" s="419">
        <f t="shared" si="130"/>
        <v>0</v>
      </c>
      <c r="G186" s="419"/>
      <c r="H186" s="419">
        <f t="shared" si="130"/>
        <v>0</v>
      </c>
      <c r="I186" s="419"/>
      <c r="J186" s="419">
        <f t="shared" si="130"/>
        <v>0</v>
      </c>
      <c r="K186" s="419"/>
      <c r="L186" s="419">
        <f t="shared" si="130"/>
        <v>0</v>
      </c>
      <c r="M186" s="419"/>
      <c r="N186" s="419">
        <f t="shared" si="130"/>
        <v>0</v>
      </c>
      <c r="O186" s="419"/>
      <c r="P186" s="419">
        <f t="shared" si="130"/>
        <v>0</v>
      </c>
      <c r="Q186" s="419"/>
      <c r="R186" s="419">
        <f t="shared" si="130"/>
        <v>0</v>
      </c>
      <c r="S186" s="419"/>
      <c r="T186" s="414">
        <f>SUM(B186:R186)</f>
        <v>0</v>
      </c>
      <c r="U186" s="445" t="s">
        <v>318</v>
      </c>
    </row>
    <row r="187" spans="1:23" ht="12.75" hidden="1" customHeight="1">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hidden="1" customHeight="1">
      <c r="A188" s="450" t="s">
        <v>336</v>
      </c>
      <c r="B188" s="435">
        <f>'1.2.2.B. Partneris-2'!C3</f>
        <v>0</v>
      </c>
      <c r="C188" s="436"/>
      <c r="D188" s="436"/>
      <c r="E188" s="436"/>
      <c r="F188" s="435">
        <f>'1.2.2.B. Partneris-2'!H3</f>
        <v>0</v>
      </c>
      <c r="G188" s="436"/>
      <c r="H188" s="437"/>
      <c r="I188" s="436"/>
      <c r="J188" s="437" t="s">
        <v>325</v>
      </c>
      <c r="K188" s="436"/>
      <c r="L188" s="439">
        <f>'1.2.2.B. Partneris-2'!C14</f>
        <v>1</v>
      </c>
      <c r="M188" s="436"/>
      <c r="N188" s="440" t="s">
        <v>333</v>
      </c>
      <c r="O188" s="436"/>
      <c r="P188" s="437"/>
      <c r="Q188" s="436"/>
      <c r="R188" s="437"/>
      <c r="S188" s="436"/>
      <c r="T188" s="437"/>
      <c r="U188" s="437"/>
      <c r="W188" s="4">
        <f>IF(F188=Dati!$J$3,1,IF(F188=Dati!$J$4,2,IF(F188=Dati!$J$5,3,0)))</f>
        <v>0</v>
      </c>
    </row>
    <row r="189" spans="1:23" hidden="1">
      <c r="A189" s="406" t="s">
        <v>310</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hidden="1">
      <c r="A190" s="441"/>
      <c r="B190" s="408" t="s">
        <v>311</v>
      </c>
      <c r="C190" s="408"/>
      <c r="D190" s="408" t="s">
        <v>311</v>
      </c>
      <c r="E190" s="408"/>
      <c r="F190" s="408" t="s">
        <v>311</v>
      </c>
      <c r="G190" s="408"/>
      <c r="H190" s="408" t="s">
        <v>311</v>
      </c>
      <c r="I190" s="408"/>
      <c r="J190" s="408" t="s">
        <v>311</v>
      </c>
      <c r="K190" s="408"/>
      <c r="L190" s="408" t="s">
        <v>311</v>
      </c>
      <c r="M190" s="408"/>
      <c r="N190" s="408" t="s">
        <v>311</v>
      </c>
      <c r="O190" s="408"/>
      <c r="P190" s="408" t="s">
        <v>311</v>
      </c>
      <c r="Q190" s="408"/>
      <c r="R190" s="408" t="s">
        <v>311</v>
      </c>
      <c r="S190" s="408"/>
      <c r="T190" s="408" t="s">
        <v>190</v>
      </c>
      <c r="U190" s="408" t="s">
        <v>134</v>
      </c>
    </row>
    <row r="191" spans="1:23" ht="12.75" hidden="1" customHeight="1">
      <c r="A191" s="442" t="str">
        <f>A$5</f>
        <v>Eiropas Reģionālās attīstības fonds</v>
      </c>
      <c r="B191" s="443">
        <f>(B198*$L$188)*$W$19-B195</f>
        <v>0</v>
      </c>
      <c r="C191" s="443"/>
      <c r="D191" s="443">
        <f t="shared" ref="D191:P191" si="131">(D198*$L$188)*$W$19-D195</f>
        <v>0</v>
      </c>
      <c r="E191" s="443"/>
      <c r="F191" s="443">
        <f t="shared" si="131"/>
        <v>0</v>
      </c>
      <c r="G191" s="443"/>
      <c r="H191" s="443">
        <f t="shared" si="131"/>
        <v>0</v>
      </c>
      <c r="I191" s="443"/>
      <c r="J191" s="443">
        <f t="shared" si="131"/>
        <v>0</v>
      </c>
      <c r="K191" s="443"/>
      <c r="L191" s="443">
        <f t="shared" si="131"/>
        <v>0</v>
      </c>
      <c r="M191" s="443"/>
      <c r="N191" s="443">
        <f>(N198*$L$188)*$W$19-N195</f>
        <v>0</v>
      </c>
      <c r="O191" s="443"/>
      <c r="P191" s="443">
        <f t="shared" si="131"/>
        <v>0</v>
      </c>
      <c r="Q191" s="443"/>
      <c r="R191" s="443">
        <f t="shared" ref="R191" si="132">(R198*$L$188-R195)*$W$19</f>
        <v>0</v>
      </c>
      <c r="S191" s="443"/>
      <c r="T191" s="410">
        <f t="shared" ref="T191:T197" si="133">SUM(B191:R191)</f>
        <v>0</v>
      </c>
      <c r="U191" s="411" t="e">
        <f>T191/$T$198</f>
        <v>#DIV/0!</v>
      </c>
    </row>
    <row r="192" spans="1:23" ht="12.75" hidden="1" customHeight="1">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33"/>
        <v>0</v>
      </c>
      <c r="U192" s="411" t="e">
        <f t="shared" ref="U192:U198" si="134">T192/$T$198</f>
        <v>#DIV/0!</v>
      </c>
    </row>
    <row r="193" spans="1:24" ht="12.75" hidden="1" customHeight="1">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33"/>
        <v>0</v>
      </c>
      <c r="U193" s="411" t="e">
        <f t="shared" si="134"/>
        <v>#DIV/0!</v>
      </c>
    </row>
    <row r="194" spans="1:24" ht="12.75" hidden="1" customHeight="1">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33"/>
        <v>0</v>
      </c>
      <c r="U194" s="411" t="e">
        <f t="shared" si="134"/>
        <v>#DIV/0!</v>
      </c>
    </row>
    <row r="195" spans="1:24" s="3" customFormat="1" ht="12.75" hidden="1" customHeight="1">
      <c r="A195" s="412" t="str">
        <f>A$9</f>
        <v xml:space="preserve">Elastības finansējuma apjoms </v>
      </c>
      <c r="B195" s="444">
        <f>B198*$L$188*$W$20</f>
        <v>0</v>
      </c>
      <c r="C195" s="444"/>
      <c r="D195" s="444">
        <f t="shared" ref="D195:R195" si="135">D198*$L$188*$W$20</f>
        <v>0</v>
      </c>
      <c r="E195" s="444"/>
      <c r="F195" s="444">
        <f t="shared" si="135"/>
        <v>0</v>
      </c>
      <c r="G195" s="444"/>
      <c r="H195" s="444">
        <f t="shared" si="135"/>
        <v>0</v>
      </c>
      <c r="I195" s="444"/>
      <c r="J195" s="444">
        <f t="shared" si="135"/>
        <v>0</v>
      </c>
      <c r="K195" s="444"/>
      <c r="L195" s="444">
        <f t="shared" si="135"/>
        <v>0</v>
      </c>
      <c r="M195" s="444"/>
      <c r="N195" s="444">
        <f t="shared" si="135"/>
        <v>0</v>
      </c>
      <c r="O195" s="444"/>
      <c r="P195" s="444">
        <f t="shared" si="135"/>
        <v>0</v>
      </c>
      <c r="Q195" s="444"/>
      <c r="R195" s="444">
        <f t="shared" si="135"/>
        <v>0</v>
      </c>
      <c r="S195" s="444"/>
      <c r="T195" s="410">
        <f t="shared" si="133"/>
        <v>0</v>
      </c>
      <c r="U195" s="411" t="e">
        <f t="shared" si="134"/>
        <v>#DIV/0!</v>
      </c>
    </row>
    <row r="196" spans="1:24" ht="12.75" hidden="1" customHeight="1">
      <c r="A196" s="413" t="str">
        <f>A$10</f>
        <v>Publiskās attiecināmās izmaksas</v>
      </c>
      <c r="B196" s="311">
        <f>SUM(B191:B195)</f>
        <v>0</v>
      </c>
      <c r="C196" s="311"/>
      <c r="D196" s="311">
        <f t="shared" ref="D196:R196" si="136">SUM(D191:D195)</f>
        <v>0</v>
      </c>
      <c r="E196" s="311"/>
      <c r="F196" s="311">
        <f t="shared" si="136"/>
        <v>0</v>
      </c>
      <c r="G196" s="311"/>
      <c r="H196" s="311">
        <f t="shared" si="136"/>
        <v>0</v>
      </c>
      <c r="I196" s="311"/>
      <c r="J196" s="311">
        <f t="shared" si="136"/>
        <v>0</v>
      </c>
      <c r="K196" s="311"/>
      <c r="L196" s="311">
        <f t="shared" si="136"/>
        <v>0</v>
      </c>
      <c r="M196" s="311"/>
      <c r="N196" s="311">
        <f t="shared" si="136"/>
        <v>0</v>
      </c>
      <c r="O196" s="311"/>
      <c r="P196" s="311">
        <f t="shared" si="136"/>
        <v>0</v>
      </c>
      <c r="Q196" s="311"/>
      <c r="R196" s="311">
        <f t="shared" si="136"/>
        <v>0</v>
      </c>
      <c r="S196" s="311"/>
      <c r="T196" s="414">
        <f t="shared" si="133"/>
        <v>0</v>
      </c>
      <c r="U196" s="411" t="e">
        <f t="shared" si="134"/>
        <v>#DIV/0!</v>
      </c>
    </row>
    <row r="197" spans="1:24" ht="12.75" hidden="1" customHeight="1">
      <c r="A197" s="412" t="str">
        <f>A$11</f>
        <v>Privātās attiecināmās izmaksas</v>
      </c>
      <c r="B197" s="444">
        <f>B198-B196</f>
        <v>0</v>
      </c>
      <c r="C197" s="444"/>
      <c r="D197" s="444">
        <f t="shared" ref="D197:R197" si="137">D198-D196</f>
        <v>0</v>
      </c>
      <c r="E197" s="444"/>
      <c r="F197" s="444">
        <f t="shared" si="137"/>
        <v>0</v>
      </c>
      <c r="G197" s="444"/>
      <c r="H197" s="444">
        <f t="shared" si="137"/>
        <v>0</v>
      </c>
      <c r="I197" s="444"/>
      <c r="J197" s="444">
        <f t="shared" si="137"/>
        <v>0</v>
      </c>
      <c r="K197" s="444"/>
      <c r="L197" s="444">
        <f t="shared" si="137"/>
        <v>0</v>
      </c>
      <c r="M197" s="444"/>
      <c r="N197" s="444">
        <f t="shared" si="137"/>
        <v>0</v>
      </c>
      <c r="O197" s="444"/>
      <c r="P197" s="444">
        <f t="shared" si="137"/>
        <v>0</v>
      </c>
      <c r="Q197" s="444"/>
      <c r="R197" s="444">
        <f t="shared" si="137"/>
        <v>0</v>
      </c>
      <c r="S197" s="444"/>
      <c r="T197" s="410">
        <f t="shared" si="133"/>
        <v>0</v>
      </c>
      <c r="U197" s="411" t="e">
        <f t="shared" si="134"/>
        <v>#DIV/0!</v>
      </c>
    </row>
    <row r="198" spans="1:24" ht="12.75" hidden="1" customHeight="1">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34"/>
        <v>#DIV/0!</v>
      </c>
    </row>
    <row r="199" spans="1:24" ht="12.75" hidden="1" customHeight="1">
      <c r="A199" s="412" t="str">
        <f>A$13</f>
        <v>Publiskās ārpusprojekta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38">SUM(B199:R199)</f>
        <v>0</v>
      </c>
      <c r="U199" s="445" t="s">
        <v>318</v>
      </c>
    </row>
    <row r="200" spans="1:24" ht="12.75" hidden="1" customHeight="1">
      <c r="A200" s="412" t="str">
        <f>A$14</f>
        <v>Privātās ārpusprojekta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38"/>
        <v>0</v>
      </c>
      <c r="U200" s="445" t="s">
        <v>318</v>
      </c>
    </row>
    <row r="201" spans="1:24" ht="12.75" hidden="1" customHeight="1">
      <c r="A201" s="413" t="str">
        <f>A$15</f>
        <v>Ārpusprojekta izmaksas kopā</v>
      </c>
      <c r="B201" s="311">
        <f>SUM(B199:B200)</f>
        <v>0</v>
      </c>
      <c r="C201" s="311"/>
      <c r="D201" s="311">
        <f t="shared" ref="D201:R201" si="139">SUM(D199:D200)</f>
        <v>0</v>
      </c>
      <c r="E201" s="311"/>
      <c r="F201" s="311">
        <f t="shared" si="139"/>
        <v>0</v>
      </c>
      <c r="G201" s="311"/>
      <c r="H201" s="311">
        <f t="shared" si="139"/>
        <v>0</v>
      </c>
      <c r="I201" s="311"/>
      <c r="J201" s="311">
        <f t="shared" si="139"/>
        <v>0</v>
      </c>
      <c r="K201" s="311"/>
      <c r="L201" s="311">
        <f t="shared" si="139"/>
        <v>0</v>
      </c>
      <c r="M201" s="311"/>
      <c r="N201" s="311">
        <f t="shared" si="139"/>
        <v>0</v>
      </c>
      <c r="O201" s="311"/>
      <c r="P201" s="311">
        <f t="shared" si="139"/>
        <v>0</v>
      </c>
      <c r="Q201" s="311"/>
      <c r="R201" s="311">
        <f t="shared" si="139"/>
        <v>0</v>
      </c>
      <c r="S201" s="311"/>
      <c r="T201" s="414">
        <f t="shared" si="138"/>
        <v>0</v>
      </c>
      <c r="U201" s="445" t="s">
        <v>318</v>
      </c>
    </row>
    <row r="202" spans="1:24" ht="12.75" hidden="1" customHeight="1">
      <c r="A202" s="418" t="str">
        <f>A$16</f>
        <v>Kopējās izmaksas</v>
      </c>
      <c r="B202" s="419">
        <f>B198+B201</f>
        <v>0</v>
      </c>
      <c r="C202" s="419"/>
      <c r="D202" s="419">
        <f t="shared" ref="D202:R202" si="140">D198+D201</f>
        <v>0</v>
      </c>
      <c r="E202" s="419"/>
      <c r="F202" s="419">
        <f t="shared" si="140"/>
        <v>0</v>
      </c>
      <c r="G202" s="419"/>
      <c r="H202" s="419">
        <f t="shared" si="140"/>
        <v>0</v>
      </c>
      <c r="I202" s="419"/>
      <c r="J202" s="419">
        <f t="shared" si="140"/>
        <v>0</v>
      </c>
      <c r="K202" s="419"/>
      <c r="L202" s="419">
        <f t="shared" si="140"/>
        <v>0</v>
      </c>
      <c r="M202" s="419"/>
      <c r="N202" s="419">
        <f t="shared" si="140"/>
        <v>0</v>
      </c>
      <c r="O202" s="419"/>
      <c r="P202" s="419">
        <f t="shared" si="140"/>
        <v>0</v>
      </c>
      <c r="Q202" s="419"/>
      <c r="R202" s="419">
        <f t="shared" si="140"/>
        <v>0</v>
      </c>
      <c r="S202" s="419"/>
      <c r="T202" s="414">
        <f>SUM(B202:R202)</f>
        <v>0</v>
      </c>
      <c r="U202" s="445" t="s">
        <v>318</v>
      </c>
    </row>
    <row r="203" spans="1:24" ht="12.75" hidden="1" customHeight="1">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hidden="1" customHeight="1">
      <c r="A204" s="450" t="s">
        <v>336</v>
      </c>
      <c r="B204" s="435">
        <f>'1.2.2.C. Partneris-2'!C3</f>
        <v>0</v>
      </c>
      <c r="C204" s="436"/>
      <c r="D204" s="436"/>
      <c r="E204" s="436"/>
      <c r="F204" s="435">
        <f>'1.2.2.C. Partneris-2'!H3</f>
        <v>0</v>
      </c>
      <c r="G204" s="436"/>
      <c r="H204" s="437"/>
      <c r="I204" s="436"/>
      <c r="J204" s="437" t="s">
        <v>325</v>
      </c>
      <c r="K204" s="436"/>
      <c r="L204" s="439">
        <f>'1.2.2.C. Partneris-2'!C24</f>
        <v>0.85</v>
      </c>
      <c r="M204" s="436"/>
      <c r="N204" s="440" t="s">
        <v>334</v>
      </c>
      <c r="O204" s="436"/>
      <c r="P204" s="437"/>
      <c r="Q204" s="436"/>
      <c r="R204" s="437"/>
      <c r="S204" s="436"/>
      <c r="T204" s="437"/>
      <c r="U204" s="437"/>
      <c r="W204" s="4">
        <f>IF(F204=Dati!$J$3,1,IF(F204=Dati!$J$4,2,IF(F204=Dati!$J$5,3,0)))</f>
        <v>0</v>
      </c>
      <c r="X204" s="4">
        <f>'1.2.2.C. Partneris-2'!AA3</f>
        <v>0</v>
      </c>
    </row>
    <row r="205" spans="1:24" hidden="1">
      <c r="A205" s="406" t="s">
        <v>310</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hidden="1">
      <c r="A206" s="441"/>
      <c r="B206" s="408" t="s">
        <v>311</v>
      </c>
      <c r="C206" s="408"/>
      <c r="D206" s="408" t="s">
        <v>311</v>
      </c>
      <c r="E206" s="408"/>
      <c r="F206" s="408" t="s">
        <v>311</v>
      </c>
      <c r="G206" s="408"/>
      <c r="H206" s="408" t="s">
        <v>311</v>
      </c>
      <c r="I206" s="408"/>
      <c r="J206" s="408" t="s">
        <v>311</v>
      </c>
      <c r="K206" s="408"/>
      <c r="L206" s="408" t="s">
        <v>311</v>
      </c>
      <c r="M206" s="408"/>
      <c r="N206" s="408" t="s">
        <v>311</v>
      </c>
      <c r="O206" s="408"/>
      <c r="P206" s="408" t="s">
        <v>311</v>
      </c>
      <c r="Q206" s="408"/>
      <c r="R206" s="408" t="s">
        <v>311</v>
      </c>
      <c r="S206" s="408"/>
      <c r="T206" s="408" t="s">
        <v>190</v>
      </c>
      <c r="U206" s="408" t="s">
        <v>134</v>
      </c>
    </row>
    <row r="207" spans="1:24" ht="12.75" hidden="1" customHeight="1">
      <c r="A207" s="442" t="str">
        <f>A$5</f>
        <v>Eiropas Reģionālās attīstības fonds</v>
      </c>
      <c r="B207" s="443">
        <f>(B214*$L$204)*$W$19-B219</f>
        <v>0</v>
      </c>
      <c r="C207" s="443"/>
      <c r="D207" s="443">
        <f t="shared" ref="D207:R207" si="141">(D214*$L$204)*$W$19-D219</f>
        <v>0</v>
      </c>
      <c r="E207" s="443"/>
      <c r="F207" s="443">
        <f t="shared" si="141"/>
        <v>0</v>
      </c>
      <c r="G207" s="443"/>
      <c r="H207" s="443">
        <f t="shared" si="141"/>
        <v>0</v>
      </c>
      <c r="I207" s="443"/>
      <c r="J207" s="443">
        <f t="shared" si="141"/>
        <v>0</v>
      </c>
      <c r="K207" s="443"/>
      <c r="L207" s="443">
        <f t="shared" si="141"/>
        <v>0</v>
      </c>
      <c r="M207" s="443"/>
      <c r="N207" s="443">
        <f t="shared" si="141"/>
        <v>0</v>
      </c>
      <c r="O207" s="443"/>
      <c r="P207" s="443">
        <f t="shared" si="141"/>
        <v>0</v>
      </c>
      <c r="Q207" s="443"/>
      <c r="R207" s="443">
        <f t="shared" si="141"/>
        <v>0</v>
      </c>
      <c r="S207" s="443"/>
      <c r="T207" s="410">
        <f>SUM(B207:R207)</f>
        <v>0</v>
      </c>
      <c r="U207" s="411" t="e">
        <f>T207/$T$214</f>
        <v>#DIV/0!</v>
      </c>
    </row>
    <row r="208" spans="1:24" ht="12.75" hidden="1" customHeight="1">
      <c r="A208" s="412" t="str">
        <f>A$6</f>
        <v>Attiecināmais valsts budžeta finansējums</v>
      </c>
      <c r="B208" s="443">
        <f>IF($W204=2,B214-B207,0)</f>
        <v>0</v>
      </c>
      <c r="C208" s="443"/>
      <c r="D208" s="443">
        <f t="shared" ref="D208:R208" si="142">IF($W204=2,D214-D207,0)</f>
        <v>0</v>
      </c>
      <c r="E208" s="443"/>
      <c r="F208" s="443">
        <f t="shared" si="142"/>
        <v>0</v>
      </c>
      <c r="G208" s="443"/>
      <c r="H208" s="443">
        <f t="shared" si="142"/>
        <v>0</v>
      </c>
      <c r="I208" s="443"/>
      <c r="J208" s="443">
        <f t="shared" si="142"/>
        <v>0</v>
      </c>
      <c r="K208" s="443"/>
      <c r="L208" s="443">
        <f t="shared" si="142"/>
        <v>0</v>
      </c>
      <c r="M208" s="443"/>
      <c r="N208" s="443">
        <f t="shared" si="142"/>
        <v>0</v>
      </c>
      <c r="O208" s="443"/>
      <c r="P208" s="443">
        <f t="shared" si="142"/>
        <v>0</v>
      </c>
      <c r="Q208" s="443"/>
      <c r="R208" s="443">
        <f t="shared" si="142"/>
        <v>0</v>
      </c>
      <c r="S208" s="443"/>
      <c r="T208" s="410">
        <f t="shared" ref="T208:T213" si="143">SUM(B208:R208)</f>
        <v>0</v>
      </c>
      <c r="U208" s="411" t="e">
        <f t="shared" ref="U208:U214" si="144">T208/$T$214</f>
        <v>#DIV/0!</v>
      </c>
    </row>
    <row r="209" spans="1:23" ht="12.75" hidden="1" customHeight="1">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43"/>
        <v>0</v>
      </c>
      <c r="U209" s="411" t="e">
        <f t="shared" si="144"/>
        <v>#DIV/0!</v>
      </c>
    </row>
    <row r="210" spans="1:23" ht="12.75" hidden="1" customHeight="1">
      <c r="A210" s="412" t="str">
        <f>A$8</f>
        <v>Pašvaldības finansējums</v>
      </c>
      <c r="B210" s="444">
        <f>IF($W204=1,B214-B207-B209-B213-B211,0)</f>
        <v>0</v>
      </c>
      <c r="C210" s="444"/>
      <c r="D210" s="444">
        <f t="shared" ref="D210:R210" si="145">IF($W204=1,D214-D207-D209-D213-D211,0)</f>
        <v>0</v>
      </c>
      <c r="E210" s="444"/>
      <c r="F210" s="444">
        <f t="shared" si="145"/>
        <v>0</v>
      </c>
      <c r="G210" s="444"/>
      <c r="H210" s="444">
        <f t="shared" si="145"/>
        <v>0</v>
      </c>
      <c r="I210" s="444"/>
      <c r="J210" s="444">
        <f t="shared" si="145"/>
        <v>0</v>
      </c>
      <c r="K210" s="444"/>
      <c r="L210" s="444">
        <f t="shared" si="145"/>
        <v>0</v>
      </c>
      <c r="M210" s="444"/>
      <c r="N210" s="444">
        <f t="shared" si="145"/>
        <v>0</v>
      </c>
      <c r="O210" s="444"/>
      <c r="P210" s="444">
        <f t="shared" si="145"/>
        <v>0</v>
      </c>
      <c r="Q210" s="444"/>
      <c r="R210" s="444">
        <f t="shared" si="145"/>
        <v>0</v>
      </c>
      <c r="S210" s="444"/>
      <c r="T210" s="410">
        <f t="shared" si="143"/>
        <v>0</v>
      </c>
      <c r="U210" s="411" t="e">
        <f t="shared" si="144"/>
        <v>#DIV/0!</v>
      </c>
    </row>
    <row r="211" spans="1:23" s="3" customFormat="1" ht="12.75" hidden="1" customHeight="1">
      <c r="A211" s="412" t="str">
        <f>A$9</f>
        <v xml:space="preserve">Elastības finansējuma apjoms </v>
      </c>
      <c r="B211" s="444">
        <f>IF($X$204=2,B214*(1-$L$204)+(B214*$L$204*$W$20)+(B214*$L$204*(1-$W$19)),B214*$L$204*$W$20)</f>
        <v>0</v>
      </c>
      <c r="C211" s="444"/>
      <c r="D211" s="444">
        <f t="shared" ref="D211:R211" si="146">IF($X$204=2,D214*(1-$L$204)+(D214*$L$204*$W$20)+(D214*$L$204*(1-$W$19)),D214*$L$204*$W$20)</f>
        <v>0</v>
      </c>
      <c r="E211" s="444"/>
      <c r="F211" s="444">
        <f t="shared" si="146"/>
        <v>0</v>
      </c>
      <c r="G211" s="444"/>
      <c r="H211" s="444">
        <f t="shared" si="146"/>
        <v>0</v>
      </c>
      <c r="I211" s="444"/>
      <c r="J211" s="444">
        <f t="shared" si="146"/>
        <v>0</v>
      </c>
      <c r="K211" s="444"/>
      <c r="L211" s="444">
        <f t="shared" si="146"/>
        <v>0</v>
      </c>
      <c r="M211" s="444"/>
      <c r="N211" s="444">
        <f t="shared" si="146"/>
        <v>0</v>
      </c>
      <c r="O211" s="444"/>
      <c r="P211" s="444">
        <f t="shared" si="146"/>
        <v>0</v>
      </c>
      <c r="Q211" s="444"/>
      <c r="R211" s="444">
        <f t="shared" si="146"/>
        <v>0</v>
      </c>
      <c r="S211" s="444"/>
      <c r="T211" s="410">
        <f t="shared" si="143"/>
        <v>0</v>
      </c>
      <c r="U211" s="411" t="e">
        <f t="shared" si="144"/>
        <v>#DIV/0!</v>
      </c>
    </row>
    <row r="212" spans="1:23" ht="12.75" hidden="1" customHeight="1">
      <c r="A212" s="413" t="str">
        <f>A$10</f>
        <v>Publiskās attiecināmās izmaksas</v>
      </c>
      <c r="B212" s="311">
        <f>SUM(B207:B211)</f>
        <v>0</v>
      </c>
      <c r="C212" s="311"/>
      <c r="D212" s="311">
        <f t="shared" ref="D212:R212" si="147">SUM(D207:D211)</f>
        <v>0</v>
      </c>
      <c r="E212" s="311"/>
      <c r="F212" s="311">
        <f t="shared" si="147"/>
        <v>0</v>
      </c>
      <c r="G212" s="311"/>
      <c r="H212" s="311">
        <f t="shared" si="147"/>
        <v>0</v>
      </c>
      <c r="I212" s="311"/>
      <c r="J212" s="311">
        <f t="shared" si="147"/>
        <v>0</v>
      </c>
      <c r="K212" s="311"/>
      <c r="L212" s="311">
        <f t="shared" si="147"/>
        <v>0</v>
      </c>
      <c r="M212" s="311"/>
      <c r="N212" s="311">
        <f t="shared" si="147"/>
        <v>0</v>
      </c>
      <c r="O212" s="311"/>
      <c r="P212" s="311">
        <f t="shared" si="147"/>
        <v>0</v>
      </c>
      <c r="Q212" s="311"/>
      <c r="R212" s="311">
        <f t="shared" si="147"/>
        <v>0</v>
      </c>
      <c r="S212" s="311"/>
      <c r="T212" s="414">
        <f t="shared" si="143"/>
        <v>0</v>
      </c>
      <c r="U212" s="411" t="e">
        <f t="shared" si="144"/>
        <v>#DIV/0!</v>
      </c>
    </row>
    <row r="213" spans="1:23" ht="12.75" hidden="1" customHeight="1">
      <c r="A213" s="412" t="str">
        <f>A$11</f>
        <v>Privātās attiecināmās izmaksas</v>
      </c>
      <c r="B213" s="444" t="b">
        <f>IF($W$204=1,0,IF($W$204=3,IF($X$204=1,B214-B212,0)))</f>
        <v>0</v>
      </c>
      <c r="C213" s="444"/>
      <c r="D213" s="444" t="b">
        <f t="shared" ref="D213:R213" si="148">IF($W$204=1,0,IF($W$204=3,IF($X$204=1,D214-D212,0)))</f>
        <v>0</v>
      </c>
      <c r="E213" s="444"/>
      <c r="F213" s="444" t="b">
        <f t="shared" si="148"/>
        <v>0</v>
      </c>
      <c r="G213" s="444"/>
      <c r="H213" s="444" t="b">
        <f t="shared" si="148"/>
        <v>0</v>
      </c>
      <c r="I213" s="444"/>
      <c r="J213" s="444" t="b">
        <f t="shared" si="148"/>
        <v>0</v>
      </c>
      <c r="K213" s="444"/>
      <c r="L213" s="444" t="b">
        <f t="shared" si="148"/>
        <v>0</v>
      </c>
      <c r="M213" s="444"/>
      <c r="N213" s="444" t="b">
        <f t="shared" si="148"/>
        <v>0</v>
      </c>
      <c r="O213" s="444"/>
      <c r="P213" s="444" t="b">
        <f t="shared" si="148"/>
        <v>0</v>
      </c>
      <c r="Q213" s="444"/>
      <c r="R213" s="444" t="b">
        <f t="shared" si="148"/>
        <v>0</v>
      </c>
      <c r="S213" s="444"/>
      <c r="T213" s="410">
        <f t="shared" si="143"/>
        <v>0</v>
      </c>
      <c r="U213" s="411" t="e">
        <f t="shared" si="144"/>
        <v>#DIV/0!</v>
      </c>
    </row>
    <row r="214" spans="1:23" ht="12.75" hidden="1" customHeight="1">
      <c r="A214" s="413" t="str">
        <f>A$12</f>
        <v>Kopējās attiecināmās izmaksas</v>
      </c>
      <c r="B214" s="311">
        <f>IF(B23=2,'1.2.2.C. Partneris-2'!H24,'1.2.2.C. Partneris-2'!H24*B23)</f>
        <v>0</v>
      </c>
      <c r="C214" s="311"/>
      <c r="D214" s="311">
        <f>IF(D23=2,'1.2.2.C. Partneris-2'!J24+'1.2.2.C. Partneris-2'!H24,'1.2.2.C. Partneris-2'!J24*D23)</f>
        <v>0</v>
      </c>
      <c r="E214" s="311"/>
      <c r="F214" s="311">
        <f>IF(F23=2,'1.2.2.C. Partneris-2'!L24+'1.2.2.C. Partneris-2'!J24+'1.2.2.C. Partneris-2'!H24,'1.2.2.C. Partneris-2'!L24*F23)</f>
        <v>0</v>
      </c>
      <c r="G214" s="311"/>
      <c r="H214" s="311">
        <f>IF(H23=2,'1.2.2.C. Partneris-2'!N24+'1.2.2.C. Partneris-2'!L24+'1.2.2.C. Partneris-2'!J24+'1.2.2.C. Partneris-2'!H24,'1.2.2.C.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44"/>
        <v>#DIV/0!</v>
      </c>
    </row>
    <row r="215" spans="1:23" ht="12.75" hidden="1" customHeight="1">
      <c r="A215" s="412" t="str">
        <f>A$13</f>
        <v>Publiskās ārpusprojekta izmaksas</v>
      </c>
      <c r="B215" s="444" t="b">
        <f>IF($W204=1,B220,IF($W204=3,IF($X204=1,0,B220)))</f>
        <v>0</v>
      </c>
      <c r="C215" s="444"/>
      <c r="D215" s="444" t="b">
        <f t="shared" ref="D215:R215" si="149">IF($W204=1,D220,IF($W204=3,IF($X204=1,0,D220)))</f>
        <v>0</v>
      </c>
      <c r="E215" s="444"/>
      <c r="F215" s="444" t="b">
        <f t="shared" si="149"/>
        <v>0</v>
      </c>
      <c r="G215" s="444"/>
      <c r="H215" s="444" t="b">
        <f t="shared" si="149"/>
        <v>0</v>
      </c>
      <c r="I215" s="444"/>
      <c r="J215" s="444" t="b">
        <f t="shared" si="149"/>
        <v>0</v>
      </c>
      <c r="K215" s="444"/>
      <c r="L215" s="444" t="b">
        <f t="shared" si="149"/>
        <v>0</v>
      </c>
      <c r="M215" s="444"/>
      <c r="N215" s="444" t="b">
        <f t="shared" si="149"/>
        <v>0</v>
      </c>
      <c r="O215" s="444"/>
      <c r="P215" s="444" t="b">
        <f t="shared" si="149"/>
        <v>0</v>
      </c>
      <c r="Q215" s="444"/>
      <c r="R215" s="444" t="b">
        <f t="shared" si="149"/>
        <v>0</v>
      </c>
      <c r="S215" s="444"/>
      <c r="T215" s="410">
        <f t="shared" ref="T215:T217" si="150">SUM(B215:R215)</f>
        <v>0</v>
      </c>
      <c r="U215" s="445" t="s">
        <v>318</v>
      </c>
    </row>
    <row r="216" spans="1:23" ht="12.75" hidden="1" customHeight="1">
      <c r="A216" s="412" t="str">
        <f>A$14</f>
        <v>Privātās ārpusprojekta izmaksas</v>
      </c>
      <c r="B216" s="444">
        <f>IF($X204=2,0,IF($X204=1,B220,IF($W204=1,0,IF($W204=3,B220,0))))</f>
        <v>0</v>
      </c>
      <c r="C216" s="444"/>
      <c r="D216" s="444">
        <f t="shared" ref="D216:R216" si="151">IF($X204=2,0,IF($X204=1,D220,IF($W204=1,0,IF($W204=3,D220,0))))</f>
        <v>0</v>
      </c>
      <c r="E216" s="444"/>
      <c r="F216" s="444">
        <f t="shared" si="151"/>
        <v>0</v>
      </c>
      <c r="G216" s="444"/>
      <c r="H216" s="444">
        <f t="shared" si="151"/>
        <v>0</v>
      </c>
      <c r="I216" s="444"/>
      <c r="J216" s="444">
        <f t="shared" si="151"/>
        <v>0</v>
      </c>
      <c r="K216" s="444"/>
      <c r="L216" s="444">
        <f t="shared" si="151"/>
        <v>0</v>
      </c>
      <c r="M216" s="444"/>
      <c r="N216" s="444">
        <f t="shared" si="151"/>
        <v>0</v>
      </c>
      <c r="O216" s="444"/>
      <c r="P216" s="444">
        <f t="shared" si="151"/>
        <v>0</v>
      </c>
      <c r="Q216" s="444"/>
      <c r="R216" s="444">
        <f t="shared" si="151"/>
        <v>0</v>
      </c>
      <c r="S216" s="444"/>
      <c r="T216" s="410">
        <f t="shared" si="150"/>
        <v>0</v>
      </c>
      <c r="U216" s="445" t="s">
        <v>318</v>
      </c>
    </row>
    <row r="217" spans="1:23" ht="12.75" hidden="1" customHeight="1">
      <c r="A217" s="413" t="str">
        <f>A$15</f>
        <v>Ārpusprojekta izmaksas kopā</v>
      </c>
      <c r="B217" s="311">
        <f>SUM(B215:B216)</f>
        <v>0</v>
      </c>
      <c r="C217" s="311"/>
      <c r="D217" s="311">
        <f t="shared" ref="D217" si="152">SUM(D215:D216)</f>
        <v>0</v>
      </c>
      <c r="E217" s="311"/>
      <c r="F217" s="311">
        <f t="shared" ref="F217" si="153">SUM(F215:F216)</f>
        <v>0</v>
      </c>
      <c r="G217" s="311"/>
      <c r="H217" s="311">
        <f t="shared" ref="H217" si="154">SUM(H215:H216)</f>
        <v>0</v>
      </c>
      <c r="I217" s="311"/>
      <c r="J217" s="311">
        <f t="shared" ref="J217" si="155">SUM(J215:J216)</f>
        <v>0</v>
      </c>
      <c r="K217" s="311"/>
      <c r="L217" s="311">
        <f t="shared" ref="L217" si="156">SUM(L215:L216)</f>
        <v>0</v>
      </c>
      <c r="M217" s="311"/>
      <c r="N217" s="311">
        <f t="shared" ref="N217" si="157">SUM(N215:N216)</f>
        <v>0</v>
      </c>
      <c r="O217" s="311"/>
      <c r="P217" s="311">
        <f t="shared" ref="P217" si="158">SUM(P215:P216)</f>
        <v>0</v>
      </c>
      <c r="Q217" s="311"/>
      <c r="R217" s="311">
        <f t="shared" ref="R217" si="159">SUM(R215:R216)</f>
        <v>0</v>
      </c>
      <c r="S217" s="311"/>
      <c r="T217" s="414">
        <f t="shared" si="150"/>
        <v>0</v>
      </c>
      <c r="U217" s="445" t="s">
        <v>318</v>
      </c>
    </row>
    <row r="218" spans="1:23" ht="12.75" hidden="1" customHeight="1">
      <c r="A218" s="418" t="str">
        <f>A$16</f>
        <v>Kopējās izmaksas</v>
      </c>
      <c r="B218" s="419">
        <f>B214+B217</f>
        <v>0</v>
      </c>
      <c r="C218" s="419"/>
      <c r="D218" s="419">
        <f t="shared" ref="D218:R218" si="160">D214+D217</f>
        <v>0</v>
      </c>
      <c r="E218" s="419"/>
      <c r="F218" s="419">
        <f t="shared" si="160"/>
        <v>0</v>
      </c>
      <c r="G218" s="419"/>
      <c r="H218" s="419">
        <f t="shared" si="160"/>
        <v>0</v>
      </c>
      <c r="I218" s="419"/>
      <c r="J218" s="419">
        <f t="shared" si="160"/>
        <v>0</v>
      </c>
      <c r="K218" s="419"/>
      <c r="L218" s="419">
        <f t="shared" si="160"/>
        <v>0</v>
      </c>
      <c r="M218" s="419"/>
      <c r="N218" s="419">
        <f t="shared" si="160"/>
        <v>0</v>
      </c>
      <c r="O218" s="419"/>
      <c r="P218" s="419">
        <f t="shared" si="160"/>
        <v>0</v>
      </c>
      <c r="Q218" s="419"/>
      <c r="R218" s="419">
        <f t="shared" si="160"/>
        <v>0</v>
      </c>
      <c r="S218" s="419"/>
      <c r="T218" s="414">
        <f>SUM(B218:R218)</f>
        <v>0</v>
      </c>
      <c r="U218" s="445" t="s">
        <v>318</v>
      </c>
    </row>
    <row r="219" spans="1:23" hidden="1">
      <c r="A219" s="448" t="s">
        <v>335</v>
      </c>
      <c r="B219" s="449">
        <f>B214*$L$204*$W$20</f>
        <v>0</v>
      </c>
      <c r="C219" s="449"/>
      <c r="D219" s="449">
        <f t="shared" ref="D219:R219" si="161">D214*$L$204*$W$20</f>
        <v>0</v>
      </c>
      <c r="E219" s="449"/>
      <c r="F219" s="449">
        <f t="shared" si="161"/>
        <v>0</v>
      </c>
      <c r="G219" s="449"/>
      <c r="H219" s="449">
        <f t="shared" si="161"/>
        <v>0</v>
      </c>
      <c r="I219" s="449"/>
      <c r="J219" s="449">
        <f t="shared" si="161"/>
        <v>0</v>
      </c>
      <c r="K219" s="449"/>
      <c r="L219" s="449">
        <f t="shared" si="161"/>
        <v>0</v>
      </c>
      <c r="M219" s="449"/>
      <c r="N219" s="449">
        <f t="shared" si="161"/>
        <v>0</v>
      </c>
      <c r="O219" s="449"/>
      <c r="P219" s="449">
        <f t="shared" si="161"/>
        <v>0</v>
      </c>
      <c r="Q219" s="449"/>
      <c r="R219" s="449">
        <f t="shared" si="161"/>
        <v>0</v>
      </c>
      <c r="T219" s="449">
        <f>IF(X204=1,0,SUM(B219:R219))</f>
        <v>0</v>
      </c>
    </row>
    <row r="220" spans="1:23" hidden="1">
      <c r="A220" s="448" t="s">
        <v>320</v>
      </c>
      <c r="B220" s="449">
        <f>IF(B23=2,'1.2.2.C. Partneris-2'!I24,'1.2.2.C. Partneris-2'!I24*B23)</f>
        <v>0</v>
      </c>
      <c r="C220" s="449"/>
      <c r="D220" s="449">
        <f>IF(D23=2,'1.2.2.C. Partneris-2'!K24+'1.2.2.C. Partneris-2'!I24,'1.2.2.C. Partneris-2'!K24*D23)</f>
        <v>0</v>
      </c>
      <c r="E220" s="449"/>
      <c r="F220" s="449">
        <f>IF(F23=2,'1.2.2.C. Partneris-2'!M24+'1.2.2.C. Partneris-2'!K24+'1.2.2.C. Partneris-2'!I24,'1.2.2.C. Partneris-2'!M24*F23)</f>
        <v>0</v>
      </c>
      <c r="G220" s="449"/>
      <c r="H220" s="449">
        <f>IF(H23=2,'1.2.2.C. Partneris-2'!O24+'1.2.2.C. Partneris-2'!M24+'1.2.2.C. Partneris-2'!K24+'1.2.2.C. Partneris-2'!I24,'1.2.2.C.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1" spans="1:23" hidden="1"/>
    <row r="222" spans="1:23" ht="18.75" hidden="1" customHeight="1">
      <c r="A222" s="451" t="s">
        <v>337</v>
      </c>
      <c r="B222" s="435">
        <f>'1.3.1. Partneris-kom.-1'!C3</f>
        <v>0</v>
      </c>
      <c r="C222" s="436"/>
      <c r="D222" s="436"/>
      <c r="E222" s="436"/>
      <c r="F222" s="435">
        <f>'1.3.1. Partneris-kom.-1'!H3</f>
        <v>0</v>
      </c>
      <c r="G222" s="436"/>
      <c r="H222" s="437"/>
      <c r="I222" s="436"/>
      <c r="J222" s="437" t="s">
        <v>325</v>
      </c>
      <c r="K222" s="436"/>
      <c r="L222" s="439">
        <f>'1.3.1. Partneris-kom.-1'!C7</f>
        <v>0.45</v>
      </c>
      <c r="M222" s="436"/>
      <c r="N222" s="440" t="s">
        <v>338</v>
      </c>
      <c r="O222" s="436"/>
      <c r="P222" s="437"/>
      <c r="Q222" s="436"/>
      <c r="R222" s="437"/>
      <c r="S222" s="436"/>
      <c r="T222" s="437"/>
      <c r="U222" s="437"/>
      <c r="W222" s="4">
        <f>IF(F222=Dati!$J$3,1,IF(F222=Dati!$J$4,2,IF(F222=Dati!$J$5,3,0)))</f>
        <v>0</v>
      </c>
    </row>
    <row r="223" spans="1:23" hidden="1">
      <c r="A223" s="406" t="s">
        <v>310</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hidden="1">
      <c r="A224" s="441"/>
      <c r="B224" s="408" t="s">
        <v>311</v>
      </c>
      <c r="C224" s="408"/>
      <c r="D224" s="408" t="s">
        <v>311</v>
      </c>
      <c r="E224" s="408"/>
      <c r="F224" s="408" t="s">
        <v>311</v>
      </c>
      <c r="G224" s="408"/>
      <c r="H224" s="408" t="s">
        <v>311</v>
      </c>
      <c r="I224" s="408"/>
      <c r="J224" s="408" t="s">
        <v>311</v>
      </c>
      <c r="K224" s="408"/>
      <c r="L224" s="408" t="s">
        <v>311</v>
      </c>
      <c r="M224" s="408"/>
      <c r="N224" s="408" t="s">
        <v>311</v>
      </c>
      <c r="O224" s="408"/>
      <c r="P224" s="408" t="s">
        <v>311</v>
      </c>
      <c r="Q224" s="408"/>
      <c r="R224" s="408" t="s">
        <v>311</v>
      </c>
      <c r="S224" s="408"/>
      <c r="T224" s="408" t="s">
        <v>190</v>
      </c>
      <c r="U224" s="408" t="s">
        <v>134</v>
      </c>
    </row>
    <row r="225" spans="1:23" ht="12.75" hidden="1" customHeight="1">
      <c r="A225" s="442" t="str">
        <f>A$5</f>
        <v>Eiropas Reģionālās attīstības fonds</v>
      </c>
      <c r="B225" s="443">
        <f>(B232*$L$222)*$W$19-B229</f>
        <v>0</v>
      </c>
      <c r="C225" s="443"/>
      <c r="D225" s="443">
        <f t="shared" ref="D225:R225" si="162">(D232*$L$222)*$W$19-D229</f>
        <v>0</v>
      </c>
      <c r="E225" s="443"/>
      <c r="F225" s="443">
        <f t="shared" si="162"/>
        <v>0</v>
      </c>
      <c r="G225" s="443"/>
      <c r="H225" s="443">
        <f t="shared" si="162"/>
        <v>0</v>
      </c>
      <c r="I225" s="443"/>
      <c r="J225" s="443">
        <f t="shared" si="162"/>
        <v>0</v>
      </c>
      <c r="K225" s="443"/>
      <c r="L225" s="443">
        <f t="shared" si="162"/>
        <v>0</v>
      </c>
      <c r="M225" s="443"/>
      <c r="N225" s="443">
        <f t="shared" si="162"/>
        <v>0</v>
      </c>
      <c r="O225" s="443"/>
      <c r="P225" s="443">
        <f t="shared" si="162"/>
        <v>0</v>
      </c>
      <c r="Q225" s="443"/>
      <c r="R225" s="443">
        <f t="shared" si="162"/>
        <v>0</v>
      </c>
      <c r="S225" s="443"/>
      <c r="T225" s="410">
        <f>SUM(B225:R225)</f>
        <v>0</v>
      </c>
      <c r="U225" s="411" t="e">
        <f>T225/$T$232</f>
        <v>#DIV/0!</v>
      </c>
    </row>
    <row r="226" spans="1:23" ht="12.75" hidden="1" customHeight="1">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63">SUM(B226:R226)</f>
        <v>0</v>
      </c>
      <c r="U226" s="411" t="e">
        <f t="shared" ref="U226:U232" si="164">T226/$T$232</f>
        <v>#DIV/0!</v>
      </c>
    </row>
    <row r="227" spans="1:23" ht="12.75" hidden="1" customHeight="1">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63"/>
        <v>0</v>
      </c>
      <c r="U227" s="411" t="e">
        <f t="shared" si="164"/>
        <v>#DIV/0!</v>
      </c>
    </row>
    <row r="228" spans="1:23" ht="12.75" hidden="1" customHeight="1">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63"/>
        <v>0</v>
      </c>
      <c r="U228" s="411" t="e">
        <f t="shared" si="164"/>
        <v>#DIV/0!</v>
      </c>
    </row>
    <row r="229" spans="1:23" s="3" customFormat="1" ht="12.75" hidden="1" customHeight="1">
      <c r="A229" s="412" t="str">
        <f>A$9</f>
        <v xml:space="preserve">Elastības finansējuma apjoms </v>
      </c>
      <c r="B229" s="444">
        <f>B232*$L$222*$W$20</f>
        <v>0</v>
      </c>
      <c r="C229" s="444"/>
      <c r="D229" s="444">
        <f t="shared" ref="D229:R229" si="165">D232*$L$222*$W$20</f>
        <v>0</v>
      </c>
      <c r="E229" s="444"/>
      <c r="F229" s="444">
        <f t="shared" si="165"/>
        <v>0</v>
      </c>
      <c r="G229" s="444"/>
      <c r="H229" s="444">
        <f t="shared" si="165"/>
        <v>0</v>
      </c>
      <c r="I229" s="444"/>
      <c r="J229" s="444">
        <f t="shared" si="165"/>
        <v>0</v>
      </c>
      <c r="K229" s="444"/>
      <c r="L229" s="444">
        <f t="shared" si="165"/>
        <v>0</v>
      </c>
      <c r="M229" s="444"/>
      <c r="N229" s="444">
        <f t="shared" si="165"/>
        <v>0</v>
      </c>
      <c r="O229" s="444"/>
      <c r="P229" s="444">
        <f t="shared" si="165"/>
        <v>0</v>
      </c>
      <c r="Q229" s="444"/>
      <c r="R229" s="444">
        <f t="shared" si="165"/>
        <v>0</v>
      </c>
      <c r="S229" s="444"/>
      <c r="T229" s="410">
        <f t="shared" si="163"/>
        <v>0</v>
      </c>
      <c r="U229" s="411" t="e">
        <f t="shared" si="164"/>
        <v>#DIV/0!</v>
      </c>
    </row>
    <row r="230" spans="1:23" ht="12.75" hidden="1" customHeight="1">
      <c r="A230" s="413" t="str">
        <f>A$10</f>
        <v>Publiskās attiecināmās izmaksas</v>
      </c>
      <c r="B230" s="311">
        <f>SUM(B225:B229)</f>
        <v>0</v>
      </c>
      <c r="C230" s="311"/>
      <c r="D230" s="311">
        <f t="shared" ref="D230:R230" si="166">SUM(D225:D229)</f>
        <v>0</v>
      </c>
      <c r="E230" s="311"/>
      <c r="F230" s="311">
        <f t="shared" si="166"/>
        <v>0</v>
      </c>
      <c r="G230" s="311"/>
      <c r="H230" s="311">
        <f t="shared" si="166"/>
        <v>0</v>
      </c>
      <c r="I230" s="311"/>
      <c r="J230" s="311">
        <f t="shared" si="166"/>
        <v>0</v>
      </c>
      <c r="K230" s="311"/>
      <c r="L230" s="311">
        <f t="shared" si="166"/>
        <v>0</v>
      </c>
      <c r="M230" s="311"/>
      <c r="N230" s="311">
        <f t="shared" si="166"/>
        <v>0</v>
      </c>
      <c r="O230" s="311"/>
      <c r="P230" s="311">
        <f t="shared" si="166"/>
        <v>0</v>
      </c>
      <c r="Q230" s="311"/>
      <c r="R230" s="311">
        <f t="shared" si="166"/>
        <v>0</v>
      </c>
      <c r="S230" s="311"/>
      <c r="T230" s="414">
        <f t="shared" si="163"/>
        <v>0</v>
      </c>
      <c r="U230" s="411" t="e">
        <f t="shared" si="164"/>
        <v>#DIV/0!</v>
      </c>
    </row>
    <row r="231" spans="1:23" ht="12.75" hidden="1" customHeight="1">
      <c r="A231" s="412" t="str">
        <f>A$11</f>
        <v>Privātās attiecināmās izmaksas</v>
      </c>
      <c r="B231" s="444">
        <f>B232-B225-B229</f>
        <v>0</v>
      </c>
      <c r="C231" s="444"/>
      <c r="D231" s="444">
        <f t="shared" ref="D231:R231" si="167">D232-D225-D229</f>
        <v>0</v>
      </c>
      <c r="E231" s="444"/>
      <c r="F231" s="444">
        <f t="shared" si="167"/>
        <v>0</v>
      </c>
      <c r="G231" s="444"/>
      <c r="H231" s="444">
        <f t="shared" si="167"/>
        <v>0</v>
      </c>
      <c r="I231" s="444"/>
      <c r="J231" s="444">
        <f t="shared" si="167"/>
        <v>0</v>
      </c>
      <c r="K231" s="444"/>
      <c r="L231" s="444">
        <f t="shared" si="167"/>
        <v>0</v>
      </c>
      <c r="M231" s="444"/>
      <c r="N231" s="444">
        <f t="shared" si="167"/>
        <v>0</v>
      </c>
      <c r="O231" s="444"/>
      <c r="P231" s="444">
        <f t="shared" si="167"/>
        <v>0</v>
      </c>
      <c r="Q231" s="444"/>
      <c r="R231" s="444">
        <f t="shared" si="167"/>
        <v>0</v>
      </c>
      <c r="S231" s="444"/>
      <c r="T231" s="410">
        <f t="shared" si="163"/>
        <v>0</v>
      </c>
      <c r="U231" s="411" t="e">
        <f t="shared" si="164"/>
        <v>#DIV/0!</v>
      </c>
    </row>
    <row r="232" spans="1:23" ht="12.75" hidden="1" customHeight="1">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64"/>
        <v>#DIV/0!</v>
      </c>
    </row>
    <row r="233" spans="1:23" ht="12.75" hidden="1" customHeight="1">
      <c r="A233" s="412" t="str">
        <f>A$13</f>
        <v>Publiskās ārpusprojekta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68">SUM(B233:R233)</f>
        <v>0</v>
      </c>
      <c r="U233" s="445" t="s">
        <v>318</v>
      </c>
    </row>
    <row r="234" spans="1:23" ht="12.75" hidden="1" customHeight="1">
      <c r="A234" s="412" t="str">
        <f>A$14</f>
        <v>Privātās ārpusprojekta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68"/>
        <v>0</v>
      </c>
      <c r="U234" s="445" t="s">
        <v>318</v>
      </c>
    </row>
    <row r="235" spans="1:23" ht="12.75" hidden="1" customHeight="1">
      <c r="A235" s="413" t="str">
        <f>A$15</f>
        <v>Ārpusprojekta izmaksas kopā</v>
      </c>
      <c r="B235" s="311">
        <f>SUM(B233:B234)</f>
        <v>0</v>
      </c>
      <c r="C235" s="311"/>
      <c r="D235" s="311">
        <f t="shared" ref="D235:R235" si="169">SUM(D233:D234)</f>
        <v>0</v>
      </c>
      <c r="E235" s="311"/>
      <c r="F235" s="311">
        <f t="shared" si="169"/>
        <v>0</v>
      </c>
      <c r="G235" s="311"/>
      <c r="H235" s="311">
        <f t="shared" si="169"/>
        <v>0</v>
      </c>
      <c r="I235" s="311"/>
      <c r="J235" s="311">
        <f t="shared" si="169"/>
        <v>0</v>
      </c>
      <c r="K235" s="311"/>
      <c r="L235" s="311">
        <f t="shared" si="169"/>
        <v>0</v>
      </c>
      <c r="M235" s="311"/>
      <c r="N235" s="311">
        <f t="shared" si="169"/>
        <v>0</v>
      </c>
      <c r="O235" s="311"/>
      <c r="P235" s="311">
        <f t="shared" si="169"/>
        <v>0</v>
      </c>
      <c r="Q235" s="311"/>
      <c r="R235" s="311">
        <f t="shared" si="169"/>
        <v>0</v>
      </c>
      <c r="S235" s="311"/>
      <c r="T235" s="414">
        <f t="shared" si="168"/>
        <v>0</v>
      </c>
      <c r="U235" s="445" t="s">
        <v>318</v>
      </c>
    </row>
    <row r="236" spans="1:23" ht="12.75" hidden="1" customHeight="1">
      <c r="A236" s="418" t="str">
        <f>A$16</f>
        <v>Kopējās izmaksas</v>
      </c>
      <c r="B236" s="419">
        <f>B232+B235</f>
        <v>0</v>
      </c>
      <c r="C236" s="419"/>
      <c r="D236" s="419">
        <f t="shared" ref="D236:R236" si="170">D232+D235</f>
        <v>0</v>
      </c>
      <c r="E236" s="419"/>
      <c r="F236" s="419">
        <f t="shared" si="170"/>
        <v>0</v>
      </c>
      <c r="G236" s="419"/>
      <c r="H236" s="419">
        <f t="shared" si="170"/>
        <v>0</v>
      </c>
      <c r="I236" s="419"/>
      <c r="J236" s="419">
        <f t="shared" si="170"/>
        <v>0</v>
      </c>
      <c r="K236" s="419"/>
      <c r="L236" s="419">
        <f t="shared" si="170"/>
        <v>0</v>
      </c>
      <c r="M236" s="419"/>
      <c r="N236" s="419">
        <f t="shared" si="170"/>
        <v>0</v>
      </c>
      <c r="O236" s="419"/>
      <c r="P236" s="419">
        <f t="shared" si="170"/>
        <v>0</v>
      </c>
      <c r="Q236" s="419"/>
      <c r="R236" s="419">
        <f t="shared" si="170"/>
        <v>0</v>
      </c>
      <c r="S236" s="419"/>
      <c r="T236" s="414">
        <f>SUM(B236:R236)</f>
        <v>0</v>
      </c>
      <c r="U236" s="445" t="s">
        <v>318</v>
      </c>
    </row>
    <row r="237" spans="1:23" hidden="1"/>
    <row r="238" spans="1:23" ht="18.75" hidden="1" customHeight="1">
      <c r="A238" s="451" t="s">
        <v>337</v>
      </c>
      <c r="B238" s="435">
        <f>'1.3.1. Partneris-kom.-1'!C3</f>
        <v>0</v>
      </c>
      <c r="C238" s="436"/>
      <c r="D238" s="436"/>
      <c r="E238" s="436"/>
      <c r="F238" s="435">
        <f>'1.3.1. Partneris-kom.-1'!H3</f>
        <v>0</v>
      </c>
      <c r="G238" s="436"/>
      <c r="H238" s="437"/>
      <c r="I238" s="436"/>
      <c r="J238" s="437" t="s">
        <v>325</v>
      </c>
      <c r="K238" s="436"/>
      <c r="L238" s="439">
        <f>'1.3.1. Partneris-kom.-1'!C14</f>
        <v>1</v>
      </c>
      <c r="M238" s="436"/>
      <c r="N238" s="440" t="s">
        <v>339</v>
      </c>
      <c r="O238" s="436"/>
      <c r="P238" s="437"/>
      <c r="Q238" s="436"/>
      <c r="R238" s="437"/>
      <c r="S238" s="436"/>
      <c r="T238" s="437"/>
      <c r="U238" s="437"/>
      <c r="W238" s="4">
        <f>IF(F238=Dati!$J$3,1,IF(F238=Dati!$J$4,2,IF(F238=Dati!$J$5,3,0)))</f>
        <v>0</v>
      </c>
    </row>
    <row r="239" spans="1:23" hidden="1">
      <c r="A239" s="406" t="s">
        <v>310</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hidden="1">
      <c r="A240" s="441"/>
      <c r="B240" s="408" t="s">
        <v>311</v>
      </c>
      <c r="C240" s="408"/>
      <c r="D240" s="408" t="s">
        <v>311</v>
      </c>
      <c r="E240" s="408"/>
      <c r="F240" s="408" t="s">
        <v>311</v>
      </c>
      <c r="G240" s="408"/>
      <c r="H240" s="408" t="s">
        <v>311</v>
      </c>
      <c r="I240" s="408"/>
      <c r="J240" s="408" t="s">
        <v>311</v>
      </c>
      <c r="K240" s="408"/>
      <c r="L240" s="408" t="s">
        <v>311</v>
      </c>
      <c r="M240" s="408"/>
      <c r="N240" s="408" t="s">
        <v>311</v>
      </c>
      <c r="O240" s="408"/>
      <c r="P240" s="408" t="s">
        <v>311</v>
      </c>
      <c r="Q240" s="408"/>
      <c r="R240" s="408" t="s">
        <v>311</v>
      </c>
      <c r="S240" s="408"/>
      <c r="T240" s="408" t="s">
        <v>190</v>
      </c>
      <c r="U240" s="408" t="s">
        <v>134</v>
      </c>
    </row>
    <row r="241" spans="1:23" ht="12.75" hidden="1" customHeight="1">
      <c r="A241" s="442" t="str">
        <f>A$5</f>
        <v>Eiropas Reģionālās attīstības fonds</v>
      </c>
      <c r="B241" s="443">
        <f>(B248*$L$238-B245)*$W$19</f>
        <v>0</v>
      </c>
      <c r="C241" s="443"/>
      <c r="D241" s="443">
        <f>(D248*$L$238)*$W$19-D245</f>
        <v>0</v>
      </c>
      <c r="E241" s="443"/>
      <c r="F241" s="443">
        <f t="shared" ref="F241:R241" si="171">(F248*$L$238)*$W$19-F245</f>
        <v>0</v>
      </c>
      <c r="G241" s="443"/>
      <c r="H241" s="443">
        <f t="shared" si="171"/>
        <v>0</v>
      </c>
      <c r="I241" s="443"/>
      <c r="J241" s="443">
        <f t="shared" si="171"/>
        <v>0</v>
      </c>
      <c r="K241" s="443"/>
      <c r="L241" s="443">
        <f t="shared" si="171"/>
        <v>0</v>
      </c>
      <c r="M241" s="443"/>
      <c r="N241" s="443">
        <f t="shared" si="171"/>
        <v>0</v>
      </c>
      <c r="O241" s="443"/>
      <c r="P241" s="443">
        <f t="shared" si="171"/>
        <v>0</v>
      </c>
      <c r="Q241" s="443"/>
      <c r="R241" s="443">
        <f t="shared" si="171"/>
        <v>0</v>
      </c>
      <c r="S241" s="443"/>
      <c r="T241" s="410">
        <f>SUM(B241:R241)</f>
        <v>0</v>
      </c>
      <c r="U241" s="411" t="e">
        <f>T241/$T$248</f>
        <v>#DIV/0!</v>
      </c>
    </row>
    <row r="242" spans="1:23" ht="12.75" hidden="1" customHeight="1">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72">SUM(B242:R242)</f>
        <v>0</v>
      </c>
      <c r="U242" s="411" t="e">
        <f t="shared" ref="U242:U248" si="173">T242/$T$248</f>
        <v>#DIV/0!</v>
      </c>
    </row>
    <row r="243" spans="1:23" ht="12.75" hidden="1" customHeight="1">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72"/>
        <v>0</v>
      </c>
      <c r="U243" s="411" t="e">
        <f t="shared" si="173"/>
        <v>#DIV/0!</v>
      </c>
    </row>
    <row r="244" spans="1:23" ht="12.75" hidden="1" customHeight="1">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72"/>
        <v>0</v>
      </c>
      <c r="U244" s="411" t="e">
        <f t="shared" si="173"/>
        <v>#DIV/0!</v>
      </c>
    </row>
    <row r="245" spans="1:23" s="3" customFormat="1" ht="12.75" hidden="1" customHeight="1">
      <c r="A245" s="412" t="str">
        <f>A$9</f>
        <v xml:space="preserve">Elastības finansējuma apjoms </v>
      </c>
      <c r="B245" s="444">
        <f>B248*$L$238*$W$20</f>
        <v>0</v>
      </c>
      <c r="C245" s="444"/>
      <c r="D245" s="444">
        <f t="shared" ref="D245:R245" si="174">D248*$L$238*$W$20</f>
        <v>0</v>
      </c>
      <c r="E245" s="444"/>
      <c r="F245" s="444">
        <f t="shared" si="174"/>
        <v>0</v>
      </c>
      <c r="G245" s="444"/>
      <c r="H245" s="444">
        <f t="shared" si="174"/>
        <v>0</v>
      </c>
      <c r="I245" s="444"/>
      <c r="J245" s="444">
        <f t="shared" si="174"/>
        <v>0</v>
      </c>
      <c r="K245" s="444"/>
      <c r="L245" s="444">
        <f t="shared" si="174"/>
        <v>0</v>
      </c>
      <c r="M245" s="444"/>
      <c r="N245" s="444">
        <f t="shared" si="174"/>
        <v>0</v>
      </c>
      <c r="O245" s="444"/>
      <c r="P245" s="444">
        <f t="shared" si="174"/>
        <v>0</v>
      </c>
      <c r="Q245" s="444"/>
      <c r="R245" s="444">
        <f t="shared" si="174"/>
        <v>0</v>
      </c>
      <c r="S245" s="444"/>
      <c r="T245" s="410">
        <f t="shared" si="172"/>
        <v>0</v>
      </c>
      <c r="U245" s="411" t="e">
        <f t="shared" si="173"/>
        <v>#DIV/0!</v>
      </c>
    </row>
    <row r="246" spans="1:23" ht="12.75" hidden="1" customHeight="1">
      <c r="A246" s="413" t="str">
        <f>A$10</f>
        <v>Publiskās attiecināmās izmaksas</v>
      </c>
      <c r="B246" s="311">
        <f>SUM(B241:B245)</f>
        <v>0</v>
      </c>
      <c r="C246" s="311"/>
      <c r="D246" s="311">
        <f t="shared" ref="D246:R246" si="175">SUM(D241:D245)</f>
        <v>0</v>
      </c>
      <c r="E246" s="311"/>
      <c r="F246" s="311">
        <f t="shared" si="175"/>
        <v>0</v>
      </c>
      <c r="G246" s="311"/>
      <c r="H246" s="311">
        <f t="shared" si="175"/>
        <v>0</v>
      </c>
      <c r="I246" s="311"/>
      <c r="J246" s="311">
        <f t="shared" si="175"/>
        <v>0</v>
      </c>
      <c r="K246" s="311"/>
      <c r="L246" s="311">
        <f t="shared" si="175"/>
        <v>0</v>
      </c>
      <c r="M246" s="311"/>
      <c r="N246" s="311">
        <f t="shared" si="175"/>
        <v>0</v>
      </c>
      <c r="O246" s="311"/>
      <c r="P246" s="311">
        <f t="shared" si="175"/>
        <v>0</v>
      </c>
      <c r="Q246" s="311"/>
      <c r="R246" s="311">
        <f t="shared" si="175"/>
        <v>0</v>
      </c>
      <c r="S246" s="311"/>
      <c r="T246" s="414">
        <f t="shared" si="172"/>
        <v>0</v>
      </c>
      <c r="U246" s="411" t="e">
        <f t="shared" si="173"/>
        <v>#DIV/0!</v>
      </c>
    </row>
    <row r="247" spans="1:23" ht="12.75" hidden="1" customHeight="1">
      <c r="A247" s="412" t="str">
        <f>A$11</f>
        <v>Privātās attiecināmās izmaksas</v>
      </c>
      <c r="B247" s="444">
        <f>B248*$L$238-B241-B245</f>
        <v>0</v>
      </c>
      <c r="C247" s="444"/>
      <c r="D247" s="444">
        <f t="shared" ref="D247:R247" si="176">D248*$L$238-D241-D245</f>
        <v>0</v>
      </c>
      <c r="E247" s="444"/>
      <c r="F247" s="444">
        <f t="shared" si="176"/>
        <v>0</v>
      </c>
      <c r="G247" s="444"/>
      <c r="H247" s="444">
        <f t="shared" si="176"/>
        <v>0</v>
      </c>
      <c r="I247" s="444"/>
      <c r="J247" s="444">
        <f t="shared" si="176"/>
        <v>0</v>
      </c>
      <c r="K247" s="444"/>
      <c r="L247" s="444">
        <f t="shared" si="176"/>
        <v>0</v>
      </c>
      <c r="M247" s="444"/>
      <c r="N247" s="444">
        <f t="shared" si="176"/>
        <v>0</v>
      </c>
      <c r="O247" s="444"/>
      <c r="P247" s="444">
        <f t="shared" si="176"/>
        <v>0</v>
      </c>
      <c r="Q247" s="444"/>
      <c r="R247" s="444">
        <f t="shared" si="176"/>
        <v>0</v>
      </c>
      <c r="S247" s="444"/>
      <c r="T247" s="410">
        <f t="shared" si="172"/>
        <v>0</v>
      </c>
      <c r="U247" s="411" t="e">
        <f t="shared" si="173"/>
        <v>#DIV/0!</v>
      </c>
    </row>
    <row r="248" spans="1:23" ht="12.75" hidden="1" customHeight="1">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73"/>
        <v>#DIV/0!</v>
      </c>
    </row>
    <row r="249" spans="1:23" ht="12.75" hidden="1" customHeight="1">
      <c r="A249" s="412" t="str">
        <f>A$13</f>
        <v>Publiskās ārpusprojekta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77">SUM(B249:R249)</f>
        <v>0</v>
      </c>
      <c r="U249" s="445" t="s">
        <v>318</v>
      </c>
    </row>
    <row r="250" spans="1:23" ht="12.75" hidden="1" customHeight="1">
      <c r="A250" s="412" t="str">
        <f>A$14</f>
        <v>Privātās ārpusprojekta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77"/>
        <v>0</v>
      </c>
      <c r="U250" s="445" t="s">
        <v>318</v>
      </c>
    </row>
    <row r="251" spans="1:23" ht="12.75" hidden="1" customHeight="1">
      <c r="A251" s="413" t="str">
        <f>A$15</f>
        <v>Ārpusprojekta izmaksas kopā</v>
      </c>
      <c r="B251" s="311">
        <f>SUM(B249:B250)</f>
        <v>0</v>
      </c>
      <c r="C251" s="311"/>
      <c r="D251" s="311">
        <f t="shared" ref="D251:R251" si="178">SUM(D249:D250)</f>
        <v>0</v>
      </c>
      <c r="E251" s="311"/>
      <c r="F251" s="311">
        <f t="shared" si="178"/>
        <v>0</v>
      </c>
      <c r="G251" s="311"/>
      <c r="H251" s="311">
        <f t="shared" si="178"/>
        <v>0</v>
      </c>
      <c r="I251" s="311"/>
      <c r="J251" s="311">
        <f t="shared" si="178"/>
        <v>0</v>
      </c>
      <c r="K251" s="311"/>
      <c r="L251" s="311">
        <f t="shared" si="178"/>
        <v>0</v>
      </c>
      <c r="M251" s="311"/>
      <c r="N251" s="311">
        <f t="shared" si="178"/>
        <v>0</v>
      </c>
      <c r="O251" s="311"/>
      <c r="P251" s="311">
        <f t="shared" si="178"/>
        <v>0</v>
      </c>
      <c r="Q251" s="311"/>
      <c r="R251" s="311">
        <f t="shared" si="178"/>
        <v>0</v>
      </c>
      <c r="S251" s="311"/>
      <c r="T251" s="414">
        <f t="shared" si="177"/>
        <v>0</v>
      </c>
      <c r="U251" s="445" t="s">
        <v>318</v>
      </c>
    </row>
    <row r="252" spans="1:23" ht="12.75" hidden="1" customHeight="1">
      <c r="A252" s="418" t="str">
        <f>A$16</f>
        <v>Kopējās izmaksas</v>
      </c>
      <c r="B252" s="419">
        <f>B248+B251</f>
        <v>0</v>
      </c>
      <c r="C252" s="419"/>
      <c r="D252" s="419">
        <f t="shared" ref="D252:R252" si="179">D248+D251</f>
        <v>0</v>
      </c>
      <c r="E252" s="419"/>
      <c r="F252" s="419">
        <f t="shared" si="179"/>
        <v>0</v>
      </c>
      <c r="G252" s="419"/>
      <c r="H252" s="419">
        <f t="shared" si="179"/>
        <v>0</v>
      </c>
      <c r="I252" s="419"/>
      <c r="J252" s="419">
        <f t="shared" si="179"/>
        <v>0</v>
      </c>
      <c r="K252" s="419"/>
      <c r="L252" s="419">
        <f t="shared" si="179"/>
        <v>0</v>
      </c>
      <c r="M252" s="419"/>
      <c r="N252" s="419">
        <f t="shared" si="179"/>
        <v>0</v>
      </c>
      <c r="O252" s="419"/>
      <c r="P252" s="419">
        <f t="shared" si="179"/>
        <v>0</v>
      </c>
      <c r="Q252" s="419"/>
      <c r="R252" s="419">
        <f t="shared" si="179"/>
        <v>0</v>
      </c>
      <c r="S252" s="419"/>
      <c r="T252" s="414">
        <f>SUM(B252:R252)</f>
        <v>0</v>
      </c>
      <c r="U252" s="445" t="s">
        <v>318</v>
      </c>
    </row>
    <row r="253" spans="1:23" hidden="1"/>
    <row r="254" spans="1:23" ht="18.75" hidden="1" customHeight="1">
      <c r="A254" s="452" t="s">
        <v>340</v>
      </c>
      <c r="B254" s="435">
        <f>'1.3.2. Partneris-kom.-2'!C3</f>
        <v>0</v>
      </c>
      <c r="C254" s="436"/>
      <c r="D254" s="436"/>
      <c r="E254" s="436"/>
      <c r="F254" s="435">
        <f>'1.3.2. Partneris-kom.-2'!H3</f>
        <v>0</v>
      </c>
      <c r="G254" s="436"/>
      <c r="H254" s="437"/>
      <c r="I254" s="436"/>
      <c r="J254" s="437" t="s">
        <v>325</v>
      </c>
      <c r="K254" s="436"/>
      <c r="L254" s="439">
        <f>'1.3.2. Partneris-kom.-2'!C7</f>
        <v>0.45</v>
      </c>
      <c r="M254" s="436"/>
      <c r="N254" s="440" t="s">
        <v>338</v>
      </c>
      <c r="O254" s="436"/>
      <c r="P254" s="437"/>
      <c r="Q254" s="436"/>
      <c r="R254" s="437"/>
      <c r="S254" s="436"/>
      <c r="T254" s="437"/>
      <c r="U254" s="437"/>
      <c r="W254" s="4">
        <f>IF(F254=Dati!$J$3,1,IF(F254=Dati!$J$4,2,IF(F254=Dati!$J$5,3,0)))</f>
        <v>0</v>
      </c>
    </row>
    <row r="255" spans="1:23" hidden="1">
      <c r="A255" s="406" t="s">
        <v>310</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hidden="1">
      <c r="A256" s="441"/>
      <c r="B256" s="408" t="s">
        <v>311</v>
      </c>
      <c r="C256" s="408"/>
      <c r="D256" s="408" t="s">
        <v>311</v>
      </c>
      <c r="E256" s="408"/>
      <c r="F256" s="408" t="s">
        <v>311</v>
      </c>
      <c r="G256" s="408"/>
      <c r="H256" s="408" t="s">
        <v>311</v>
      </c>
      <c r="I256" s="408"/>
      <c r="J256" s="408" t="s">
        <v>311</v>
      </c>
      <c r="K256" s="408"/>
      <c r="L256" s="408" t="s">
        <v>311</v>
      </c>
      <c r="M256" s="408"/>
      <c r="N256" s="408" t="s">
        <v>311</v>
      </c>
      <c r="O256" s="408"/>
      <c r="P256" s="408" t="s">
        <v>311</v>
      </c>
      <c r="Q256" s="408"/>
      <c r="R256" s="408" t="s">
        <v>311</v>
      </c>
      <c r="S256" s="408"/>
      <c r="T256" s="408" t="s">
        <v>190</v>
      </c>
      <c r="U256" s="408" t="s">
        <v>134</v>
      </c>
    </row>
    <row r="257" spans="1:23" ht="12.75" hidden="1" customHeight="1">
      <c r="A257" s="442" t="str">
        <f>A$5</f>
        <v>Eiropas Reģionālās attīstības fonds</v>
      </c>
      <c r="B257" s="443">
        <f>(B264*$L$254-B261)*$W$19</f>
        <v>0</v>
      </c>
      <c r="C257" s="443"/>
      <c r="D257" s="443">
        <f>(D264*$L$254)*$W$19-D261</f>
        <v>0</v>
      </c>
      <c r="E257" s="443"/>
      <c r="F257" s="443">
        <f t="shared" ref="F257:R257" si="180">(F264*$L$254)*$W$19-F261</f>
        <v>0</v>
      </c>
      <c r="G257" s="443"/>
      <c r="H257" s="443">
        <f t="shared" si="180"/>
        <v>0</v>
      </c>
      <c r="I257" s="443"/>
      <c r="J257" s="443">
        <f t="shared" si="180"/>
        <v>0</v>
      </c>
      <c r="K257" s="443"/>
      <c r="L257" s="443">
        <f t="shared" si="180"/>
        <v>0</v>
      </c>
      <c r="M257" s="443"/>
      <c r="N257" s="443">
        <f t="shared" si="180"/>
        <v>0</v>
      </c>
      <c r="O257" s="443"/>
      <c r="P257" s="443">
        <f t="shared" si="180"/>
        <v>0</v>
      </c>
      <c r="Q257" s="443"/>
      <c r="R257" s="443">
        <f t="shared" si="180"/>
        <v>0</v>
      </c>
      <c r="S257" s="443"/>
      <c r="T257" s="410">
        <f>SUM(B257:R257)</f>
        <v>0</v>
      </c>
      <c r="U257" s="411" t="e">
        <f>T257/$T$264</f>
        <v>#DIV/0!</v>
      </c>
    </row>
    <row r="258" spans="1:23" ht="12.75" hidden="1" customHeight="1">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81">SUM(B258:R258)</f>
        <v>0</v>
      </c>
      <c r="U258" s="411" t="e">
        <f t="shared" ref="U258:U264" si="182">T258/$T$264</f>
        <v>#DIV/0!</v>
      </c>
    </row>
    <row r="259" spans="1:23" ht="12.75" hidden="1" customHeight="1">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81"/>
        <v>0</v>
      </c>
      <c r="U259" s="411" t="e">
        <f t="shared" si="182"/>
        <v>#DIV/0!</v>
      </c>
    </row>
    <row r="260" spans="1:23" ht="12.75" hidden="1" customHeight="1">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81"/>
        <v>0</v>
      </c>
      <c r="U260" s="411" t="e">
        <f t="shared" si="182"/>
        <v>#DIV/0!</v>
      </c>
    </row>
    <row r="261" spans="1:23" s="3" customFormat="1" ht="12.75" hidden="1" customHeight="1">
      <c r="A261" s="412" t="str">
        <f>A$9</f>
        <v xml:space="preserve">Elastības finansējuma apjoms </v>
      </c>
      <c r="B261" s="444">
        <f>B264*$L$254*$W$20</f>
        <v>0</v>
      </c>
      <c r="C261" s="444"/>
      <c r="D261" s="444">
        <f t="shared" ref="D261:R261" si="183">D264*$L$254*$W$20</f>
        <v>0</v>
      </c>
      <c r="E261" s="444"/>
      <c r="F261" s="444">
        <f t="shared" si="183"/>
        <v>0</v>
      </c>
      <c r="G261" s="444"/>
      <c r="H261" s="444">
        <f t="shared" si="183"/>
        <v>0</v>
      </c>
      <c r="I261" s="444"/>
      <c r="J261" s="444">
        <f t="shared" si="183"/>
        <v>0</v>
      </c>
      <c r="K261" s="444"/>
      <c r="L261" s="444">
        <f t="shared" si="183"/>
        <v>0</v>
      </c>
      <c r="M261" s="444"/>
      <c r="N261" s="444">
        <f t="shared" si="183"/>
        <v>0</v>
      </c>
      <c r="O261" s="444"/>
      <c r="P261" s="444">
        <f t="shared" si="183"/>
        <v>0</v>
      </c>
      <c r="Q261" s="444"/>
      <c r="R261" s="444">
        <f t="shared" si="183"/>
        <v>0</v>
      </c>
      <c r="S261" s="444"/>
      <c r="T261" s="410">
        <f t="shared" si="181"/>
        <v>0</v>
      </c>
      <c r="U261" s="411" t="e">
        <f t="shared" si="182"/>
        <v>#DIV/0!</v>
      </c>
    </row>
    <row r="262" spans="1:23" ht="12.75" hidden="1" customHeight="1">
      <c r="A262" s="413" t="str">
        <f>A$10</f>
        <v>Publiskās attiecināmās izmaksas</v>
      </c>
      <c r="B262" s="311">
        <f>SUM(B257:B261)</f>
        <v>0</v>
      </c>
      <c r="C262" s="311"/>
      <c r="D262" s="311">
        <f t="shared" ref="D262:R262" si="184">SUM(D257:D261)</f>
        <v>0</v>
      </c>
      <c r="E262" s="311"/>
      <c r="F262" s="311">
        <f t="shared" si="184"/>
        <v>0</v>
      </c>
      <c r="G262" s="311"/>
      <c r="H262" s="311">
        <f t="shared" si="184"/>
        <v>0</v>
      </c>
      <c r="I262" s="311"/>
      <c r="J262" s="311">
        <f t="shared" si="184"/>
        <v>0</v>
      </c>
      <c r="K262" s="311"/>
      <c r="L262" s="311">
        <f t="shared" si="184"/>
        <v>0</v>
      </c>
      <c r="M262" s="311"/>
      <c r="N262" s="311">
        <f t="shared" si="184"/>
        <v>0</v>
      </c>
      <c r="O262" s="311"/>
      <c r="P262" s="311">
        <f t="shared" si="184"/>
        <v>0</v>
      </c>
      <c r="Q262" s="311"/>
      <c r="R262" s="311">
        <f t="shared" si="184"/>
        <v>0</v>
      </c>
      <c r="S262" s="311"/>
      <c r="T262" s="414">
        <f t="shared" si="181"/>
        <v>0</v>
      </c>
      <c r="U262" s="411" t="e">
        <f t="shared" si="182"/>
        <v>#DIV/0!</v>
      </c>
    </row>
    <row r="263" spans="1:23" ht="12.75" hidden="1" customHeight="1">
      <c r="A263" s="412" t="str">
        <f>A$11</f>
        <v>Privātās attiecināmās izmaksas</v>
      </c>
      <c r="B263" s="444">
        <f>B264-B257-B261</f>
        <v>0</v>
      </c>
      <c r="C263" s="444"/>
      <c r="D263" s="444">
        <f t="shared" ref="D263:R263" si="185">D264-D257-D261</f>
        <v>0</v>
      </c>
      <c r="E263" s="444"/>
      <c r="F263" s="444">
        <f t="shared" si="185"/>
        <v>0</v>
      </c>
      <c r="G263" s="444"/>
      <c r="H263" s="444">
        <f t="shared" si="185"/>
        <v>0</v>
      </c>
      <c r="I263" s="444"/>
      <c r="J263" s="444">
        <f t="shared" si="185"/>
        <v>0</v>
      </c>
      <c r="K263" s="444"/>
      <c r="L263" s="444">
        <f t="shared" si="185"/>
        <v>0</v>
      </c>
      <c r="M263" s="444"/>
      <c r="N263" s="444">
        <f t="shared" si="185"/>
        <v>0</v>
      </c>
      <c r="O263" s="444"/>
      <c r="P263" s="444">
        <f t="shared" si="185"/>
        <v>0</v>
      </c>
      <c r="Q263" s="444"/>
      <c r="R263" s="444">
        <f t="shared" si="185"/>
        <v>0</v>
      </c>
      <c r="S263" s="444"/>
      <c r="T263" s="410">
        <f t="shared" si="181"/>
        <v>0</v>
      </c>
      <c r="U263" s="411" t="e">
        <f t="shared" si="182"/>
        <v>#DIV/0!</v>
      </c>
    </row>
    <row r="264" spans="1:23" ht="12.75" hidden="1" customHeight="1">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82"/>
        <v>#DIV/0!</v>
      </c>
    </row>
    <row r="265" spans="1:23" ht="12.75" hidden="1" customHeight="1">
      <c r="A265" s="412" t="str">
        <f>A$13</f>
        <v>Publiskās ārpusprojekta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86">SUM(B265:R265)</f>
        <v>0</v>
      </c>
      <c r="U265" s="445" t="s">
        <v>318</v>
      </c>
    </row>
    <row r="266" spans="1:23" ht="12.75" hidden="1" customHeight="1">
      <c r="A266" s="412" t="str">
        <f>A$14</f>
        <v>Privātās ārpusprojekta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86"/>
        <v>0</v>
      </c>
      <c r="U266" s="445" t="s">
        <v>318</v>
      </c>
    </row>
    <row r="267" spans="1:23" ht="12.75" hidden="1" customHeight="1">
      <c r="A267" s="413" t="str">
        <f>A$15</f>
        <v>Ārpusprojekta izmaksas kopā</v>
      </c>
      <c r="B267" s="311">
        <f>SUM(B265:B266)</f>
        <v>0</v>
      </c>
      <c r="C267" s="311"/>
      <c r="D267" s="311">
        <f t="shared" ref="D267:R267" si="187">SUM(D265:D266)</f>
        <v>0</v>
      </c>
      <c r="E267" s="311"/>
      <c r="F267" s="311">
        <f t="shared" si="187"/>
        <v>0</v>
      </c>
      <c r="G267" s="311"/>
      <c r="H267" s="311">
        <f t="shared" si="187"/>
        <v>0</v>
      </c>
      <c r="I267" s="311"/>
      <c r="J267" s="311">
        <f t="shared" si="187"/>
        <v>0</v>
      </c>
      <c r="K267" s="311"/>
      <c r="L267" s="311">
        <f t="shared" si="187"/>
        <v>0</v>
      </c>
      <c r="M267" s="311"/>
      <c r="N267" s="311">
        <f t="shared" si="187"/>
        <v>0</v>
      </c>
      <c r="O267" s="311"/>
      <c r="P267" s="311">
        <f t="shared" si="187"/>
        <v>0</v>
      </c>
      <c r="Q267" s="311"/>
      <c r="R267" s="311">
        <f t="shared" si="187"/>
        <v>0</v>
      </c>
      <c r="S267" s="311"/>
      <c r="T267" s="414">
        <f t="shared" si="186"/>
        <v>0</v>
      </c>
      <c r="U267" s="445" t="s">
        <v>318</v>
      </c>
    </row>
    <row r="268" spans="1:23" ht="12.75" hidden="1" customHeight="1">
      <c r="A268" s="418" t="str">
        <f>A$16</f>
        <v>Kopējās izmaksas</v>
      </c>
      <c r="B268" s="419">
        <f>B264+B267</f>
        <v>0</v>
      </c>
      <c r="C268" s="419"/>
      <c r="D268" s="419">
        <f t="shared" ref="D268:R268" si="188">D264+D267</f>
        <v>0</v>
      </c>
      <c r="E268" s="419"/>
      <c r="F268" s="419">
        <f t="shared" si="188"/>
        <v>0</v>
      </c>
      <c r="G268" s="419"/>
      <c r="H268" s="419">
        <f t="shared" si="188"/>
        <v>0</v>
      </c>
      <c r="I268" s="419"/>
      <c r="J268" s="419">
        <f t="shared" si="188"/>
        <v>0</v>
      </c>
      <c r="K268" s="419"/>
      <c r="L268" s="419">
        <f t="shared" si="188"/>
        <v>0</v>
      </c>
      <c r="M268" s="419"/>
      <c r="N268" s="419">
        <f t="shared" si="188"/>
        <v>0</v>
      </c>
      <c r="O268" s="419"/>
      <c r="P268" s="419">
        <f t="shared" si="188"/>
        <v>0</v>
      </c>
      <c r="Q268" s="419"/>
      <c r="R268" s="419">
        <f t="shared" si="188"/>
        <v>0</v>
      </c>
      <c r="S268" s="419"/>
      <c r="T268" s="414">
        <f>SUM(B268:R268)</f>
        <v>0</v>
      </c>
      <c r="U268" s="445" t="s">
        <v>318</v>
      </c>
    </row>
    <row r="269" spans="1:23" hidden="1"/>
    <row r="270" spans="1:23" ht="18.75" hidden="1" customHeight="1">
      <c r="A270" s="452" t="s">
        <v>340</v>
      </c>
      <c r="B270" s="435">
        <f>'1.3.2. Partneris-kom.-2'!C3</f>
        <v>0</v>
      </c>
      <c r="C270" s="436"/>
      <c r="D270" s="436"/>
      <c r="E270" s="436"/>
      <c r="F270" s="435">
        <f>'1.3.2. Partneris-kom.-2'!H3</f>
        <v>0</v>
      </c>
      <c r="G270" s="436"/>
      <c r="H270" s="437"/>
      <c r="I270" s="436"/>
      <c r="J270" s="437" t="s">
        <v>325</v>
      </c>
      <c r="K270" s="436"/>
      <c r="L270" s="439">
        <f>'1.3.2. Partneris-kom.-2'!C14</f>
        <v>1</v>
      </c>
      <c r="M270" s="436"/>
      <c r="N270" s="440" t="s">
        <v>338</v>
      </c>
      <c r="O270" s="436"/>
      <c r="P270" s="437"/>
      <c r="Q270" s="436"/>
      <c r="R270" s="437"/>
      <c r="S270" s="436"/>
      <c r="T270" s="437"/>
      <c r="U270" s="437"/>
      <c r="W270" s="4">
        <f>IF(F270=Dati!$J$3,1,IF(F270=Dati!$J$4,2,IF(F270=Dati!$J$5,3,0)))</f>
        <v>0</v>
      </c>
    </row>
    <row r="271" spans="1:23" hidden="1">
      <c r="A271" s="406" t="s">
        <v>310</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hidden="1">
      <c r="A272" s="441"/>
      <c r="B272" s="408" t="s">
        <v>311</v>
      </c>
      <c r="C272" s="408"/>
      <c r="D272" s="408" t="s">
        <v>311</v>
      </c>
      <c r="E272" s="408"/>
      <c r="F272" s="408" t="s">
        <v>311</v>
      </c>
      <c r="G272" s="408"/>
      <c r="H272" s="408" t="s">
        <v>311</v>
      </c>
      <c r="I272" s="408"/>
      <c r="J272" s="408" t="s">
        <v>311</v>
      </c>
      <c r="K272" s="408"/>
      <c r="L272" s="408" t="s">
        <v>311</v>
      </c>
      <c r="M272" s="408"/>
      <c r="N272" s="408" t="s">
        <v>311</v>
      </c>
      <c r="O272" s="408"/>
      <c r="P272" s="408" t="s">
        <v>311</v>
      </c>
      <c r="Q272" s="408"/>
      <c r="R272" s="408" t="s">
        <v>311</v>
      </c>
      <c r="S272" s="408"/>
      <c r="T272" s="408" t="s">
        <v>190</v>
      </c>
      <c r="U272" s="408" t="s">
        <v>134</v>
      </c>
    </row>
    <row r="273" spans="1:21" ht="12.75" hidden="1" customHeight="1">
      <c r="A273" s="442" t="str">
        <f>A$5</f>
        <v>Eiropas Reģionālās attīstības fonds</v>
      </c>
      <c r="B273" s="443">
        <f>(B280*$L$270-B277)*$W$19</f>
        <v>0</v>
      </c>
      <c r="C273" s="443"/>
      <c r="D273" s="443">
        <f>(D280*$L$270)*$W$19-D277</f>
        <v>0</v>
      </c>
      <c r="E273" s="443"/>
      <c r="F273" s="443">
        <f t="shared" ref="F273:R273" si="189">(F280*$L$270)*$W$19-F277</f>
        <v>0</v>
      </c>
      <c r="G273" s="443"/>
      <c r="H273" s="443">
        <f t="shared" si="189"/>
        <v>0</v>
      </c>
      <c r="I273" s="443"/>
      <c r="J273" s="443">
        <f t="shared" si="189"/>
        <v>0</v>
      </c>
      <c r="K273" s="443"/>
      <c r="L273" s="443">
        <f t="shared" si="189"/>
        <v>0</v>
      </c>
      <c r="M273" s="443"/>
      <c r="N273" s="443">
        <f t="shared" si="189"/>
        <v>0</v>
      </c>
      <c r="O273" s="443"/>
      <c r="P273" s="443">
        <f t="shared" si="189"/>
        <v>0</v>
      </c>
      <c r="Q273" s="443"/>
      <c r="R273" s="443">
        <f t="shared" si="189"/>
        <v>0</v>
      </c>
      <c r="S273" s="443"/>
      <c r="T273" s="410">
        <f>SUM(B273:R273)</f>
        <v>0</v>
      </c>
      <c r="U273" s="411" t="e">
        <f>T273/$T$280</f>
        <v>#DIV/0!</v>
      </c>
    </row>
    <row r="274" spans="1:21" ht="12.75" hidden="1" customHeight="1">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90">SUM(B274:R274)</f>
        <v>0</v>
      </c>
      <c r="U274" s="411" t="e">
        <f t="shared" ref="U274:U280" si="191">T274/$T$280</f>
        <v>#DIV/0!</v>
      </c>
    </row>
    <row r="275" spans="1:21" ht="12.75" hidden="1" customHeight="1">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90"/>
        <v>0</v>
      </c>
      <c r="U275" s="411" t="e">
        <f t="shared" si="191"/>
        <v>#DIV/0!</v>
      </c>
    </row>
    <row r="276" spans="1:21" ht="12.75" hidden="1" customHeight="1">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90"/>
        <v>0</v>
      </c>
      <c r="U276" s="411" t="e">
        <f t="shared" si="191"/>
        <v>#DIV/0!</v>
      </c>
    </row>
    <row r="277" spans="1:21" s="3" customFormat="1" ht="12.75" hidden="1" customHeight="1">
      <c r="A277" s="412" t="str">
        <f>A$9</f>
        <v xml:space="preserve">Elastības finansējuma apjoms </v>
      </c>
      <c r="B277" s="444">
        <f>B280*$L$270*$W$20</f>
        <v>0</v>
      </c>
      <c r="C277" s="444"/>
      <c r="D277" s="444">
        <f t="shared" ref="D277:R277" si="192">D280*$L$270*$W$20</f>
        <v>0</v>
      </c>
      <c r="E277" s="444"/>
      <c r="F277" s="444">
        <f t="shared" si="192"/>
        <v>0</v>
      </c>
      <c r="G277" s="444"/>
      <c r="H277" s="444">
        <f t="shared" si="192"/>
        <v>0</v>
      </c>
      <c r="I277" s="444"/>
      <c r="J277" s="444">
        <f t="shared" si="192"/>
        <v>0</v>
      </c>
      <c r="K277" s="444"/>
      <c r="L277" s="444">
        <f t="shared" si="192"/>
        <v>0</v>
      </c>
      <c r="M277" s="444"/>
      <c r="N277" s="444">
        <f t="shared" si="192"/>
        <v>0</v>
      </c>
      <c r="O277" s="444"/>
      <c r="P277" s="444">
        <f t="shared" si="192"/>
        <v>0</v>
      </c>
      <c r="Q277" s="444"/>
      <c r="R277" s="444">
        <f t="shared" si="192"/>
        <v>0</v>
      </c>
      <c r="S277" s="444"/>
      <c r="T277" s="410">
        <f t="shared" si="190"/>
        <v>0</v>
      </c>
      <c r="U277" s="411" t="e">
        <f t="shared" si="191"/>
        <v>#DIV/0!</v>
      </c>
    </row>
    <row r="278" spans="1:21" ht="12.75" hidden="1" customHeight="1">
      <c r="A278" s="413" t="str">
        <f>A$10</f>
        <v>Publiskās attiecināmās izmaksas</v>
      </c>
      <c r="B278" s="311">
        <f>SUM(B273:B277)</f>
        <v>0</v>
      </c>
      <c r="C278" s="311"/>
      <c r="D278" s="311">
        <f t="shared" ref="D278:R278" si="193">SUM(D273:D277)</f>
        <v>0</v>
      </c>
      <c r="E278" s="311"/>
      <c r="F278" s="311">
        <f t="shared" si="193"/>
        <v>0</v>
      </c>
      <c r="G278" s="311"/>
      <c r="H278" s="311">
        <f t="shared" si="193"/>
        <v>0</v>
      </c>
      <c r="I278" s="311"/>
      <c r="J278" s="311">
        <f t="shared" si="193"/>
        <v>0</v>
      </c>
      <c r="K278" s="311"/>
      <c r="L278" s="311">
        <f t="shared" si="193"/>
        <v>0</v>
      </c>
      <c r="M278" s="311"/>
      <c r="N278" s="311">
        <f t="shared" si="193"/>
        <v>0</v>
      </c>
      <c r="O278" s="311"/>
      <c r="P278" s="311">
        <f t="shared" si="193"/>
        <v>0</v>
      </c>
      <c r="Q278" s="311"/>
      <c r="R278" s="311">
        <f t="shared" si="193"/>
        <v>0</v>
      </c>
      <c r="S278" s="311"/>
      <c r="T278" s="414">
        <f t="shared" si="190"/>
        <v>0</v>
      </c>
      <c r="U278" s="411" t="e">
        <f t="shared" si="191"/>
        <v>#DIV/0!</v>
      </c>
    </row>
    <row r="279" spans="1:21" ht="12.75" hidden="1" customHeight="1">
      <c r="A279" s="412" t="str">
        <f>A$11</f>
        <v>Privātās attiecināmās izmaksas</v>
      </c>
      <c r="B279" s="444">
        <f>B280*$L$270-B273-B277</f>
        <v>0</v>
      </c>
      <c r="C279" s="444"/>
      <c r="D279" s="444">
        <f t="shared" ref="D279:R279" si="194">D280*$L$270-D273-D277</f>
        <v>0</v>
      </c>
      <c r="E279" s="444"/>
      <c r="F279" s="444">
        <f t="shared" si="194"/>
        <v>0</v>
      </c>
      <c r="G279" s="444"/>
      <c r="H279" s="444">
        <f t="shared" si="194"/>
        <v>0</v>
      </c>
      <c r="I279" s="444"/>
      <c r="J279" s="444">
        <f t="shared" si="194"/>
        <v>0</v>
      </c>
      <c r="K279" s="444"/>
      <c r="L279" s="444">
        <f t="shared" si="194"/>
        <v>0</v>
      </c>
      <c r="M279" s="444"/>
      <c r="N279" s="444">
        <f t="shared" si="194"/>
        <v>0</v>
      </c>
      <c r="O279" s="444"/>
      <c r="P279" s="444">
        <f t="shared" si="194"/>
        <v>0</v>
      </c>
      <c r="Q279" s="444"/>
      <c r="R279" s="444">
        <f t="shared" si="194"/>
        <v>0</v>
      </c>
      <c r="S279" s="444"/>
      <c r="T279" s="410">
        <f t="shared" si="190"/>
        <v>0</v>
      </c>
      <c r="U279" s="411" t="e">
        <f t="shared" si="191"/>
        <v>#DIV/0!</v>
      </c>
    </row>
    <row r="280" spans="1:21" ht="12.75" hidden="1" customHeight="1">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91"/>
        <v>#DIV/0!</v>
      </c>
    </row>
    <row r="281" spans="1:21" ht="12.75" hidden="1" customHeight="1">
      <c r="A281" s="412" t="str">
        <f>A$13</f>
        <v>Publiskās ārpusprojekta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95">SUM(B281:R281)</f>
        <v>0</v>
      </c>
      <c r="U281" s="445" t="s">
        <v>318</v>
      </c>
    </row>
    <row r="282" spans="1:21" ht="12.75" hidden="1" customHeight="1">
      <c r="A282" s="412" t="str">
        <f>A$14</f>
        <v>Privātās ārpusprojekta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95"/>
        <v>0</v>
      </c>
      <c r="U282" s="445" t="s">
        <v>318</v>
      </c>
    </row>
    <row r="283" spans="1:21" ht="12.75" hidden="1" customHeight="1">
      <c r="A283" s="413" t="str">
        <f>A$15</f>
        <v>Ārpusprojekta izmaksas kopā</v>
      </c>
      <c r="B283" s="311">
        <f>SUM(B281:B282)</f>
        <v>0</v>
      </c>
      <c r="C283" s="311"/>
      <c r="D283" s="311">
        <f t="shared" ref="D283:R283" si="196">SUM(D281:D282)</f>
        <v>0</v>
      </c>
      <c r="E283" s="311"/>
      <c r="F283" s="311">
        <f t="shared" si="196"/>
        <v>0</v>
      </c>
      <c r="G283" s="311"/>
      <c r="H283" s="311">
        <f t="shared" si="196"/>
        <v>0</v>
      </c>
      <c r="I283" s="311"/>
      <c r="J283" s="311">
        <f t="shared" si="196"/>
        <v>0</v>
      </c>
      <c r="K283" s="311"/>
      <c r="L283" s="311">
        <f t="shared" si="196"/>
        <v>0</v>
      </c>
      <c r="M283" s="311"/>
      <c r="N283" s="311">
        <f t="shared" si="196"/>
        <v>0</v>
      </c>
      <c r="O283" s="311"/>
      <c r="P283" s="311">
        <f t="shared" si="196"/>
        <v>0</v>
      </c>
      <c r="Q283" s="311"/>
      <c r="R283" s="311">
        <f t="shared" si="196"/>
        <v>0</v>
      </c>
      <c r="S283" s="311"/>
      <c r="T283" s="414">
        <f t="shared" si="195"/>
        <v>0</v>
      </c>
      <c r="U283" s="445" t="s">
        <v>318</v>
      </c>
    </row>
    <row r="284" spans="1:21" ht="12.75" hidden="1" customHeight="1">
      <c r="A284" s="418" t="str">
        <f>A$16</f>
        <v>Kopējās izmaksas</v>
      </c>
      <c r="B284" s="419">
        <f>B280+B283</f>
        <v>0</v>
      </c>
      <c r="C284" s="419"/>
      <c r="D284" s="419">
        <f t="shared" ref="D284:R284" si="197">D280+D283</f>
        <v>0</v>
      </c>
      <c r="E284" s="419"/>
      <c r="F284" s="419">
        <f t="shared" si="197"/>
        <v>0</v>
      </c>
      <c r="G284" s="419"/>
      <c r="H284" s="419">
        <f t="shared" si="197"/>
        <v>0</v>
      </c>
      <c r="I284" s="419"/>
      <c r="J284" s="419">
        <f t="shared" si="197"/>
        <v>0</v>
      </c>
      <c r="K284" s="419"/>
      <c r="L284" s="419">
        <f t="shared" si="197"/>
        <v>0</v>
      </c>
      <c r="M284" s="419"/>
      <c r="N284" s="419">
        <f t="shared" si="197"/>
        <v>0</v>
      </c>
      <c r="O284" s="419"/>
      <c r="P284" s="419">
        <f t="shared" si="197"/>
        <v>0</v>
      </c>
      <c r="Q284" s="419"/>
      <c r="R284" s="419">
        <f t="shared" si="197"/>
        <v>0</v>
      </c>
      <c r="S284" s="419"/>
      <c r="T284" s="414">
        <f>SUM(B284:R284)</f>
        <v>0</v>
      </c>
      <c r="U284" s="445" t="s">
        <v>318</v>
      </c>
    </row>
    <row r="288" spans="1:21">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F47" activePane="bottomRight" state="frozen"/>
      <selection pane="bottomRight" activeCell="F47" sqref="F47"/>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81" t="s">
        <v>341</v>
      </c>
      <c r="B1" s="581"/>
      <c r="C1" s="459"/>
      <c r="D1" s="459"/>
      <c r="E1" s="459"/>
      <c r="F1" s="459"/>
      <c r="G1" s="459"/>
      <c r="H1" s="459"/>
      <c r="I1" s="459"/>
      <c r="J1" s="459"/>
    </row>
    <row r="2" spans="1:14" s="461" customFormat="1" ht="24.95" customHeight="1">
      <c r="A2" s="587" t="s">
        <v>351</v>
      </c>
      <c r="B2" s="587"/>
      <c r="C2" s="460"/>
      <c r="D2" s="460"/>
      <c r="E2" s="460"/>
      <c r="F2" s="460"/>
      <c r="G2" s="460"/>
      <c r="H2" s="460"/>
      <c r="I2" s="460"/>
      <c r="J2" s="460"/>
    </row>
    <row r="3" spans="1:14">
      <c r="A3" s="459"/>
      <c r="B3" s="459"/>
      <c r="C3" s="459"/>
      <c r="D3" s="459"/>
      <c r="E3" s="459"/>
      <c r="F3" s="459"/>
      <c r="G3" s="459"/>
      <c r="H3" s="459"/>
      <c r="I3" s="459"/>
      <c r="J3" s="459"/>
    </row>
    <row r="4" spans="1:14" s="4" customFormat="1" ht="45" customHeight="1">
      <c r="A4" s="588" t="s">
        <v>352</v>
      </c>
      <c r="B4" s="589" t="s">
        <v>353</v>
      </c>
      <c r="C4" s="585" t="s">
        <v>354</v>
      </c>
      <c r="D4" s="585"/>
      <c r="E4" s="585" t="s">
        <v>154</v>
      </c>
      <c r="F4" s="585"/>
      <c r="G4" s="586" t="s">
        <v>355</v>
      </c>
      <c r="H4" s="3"/>
      <c r="I4" s="3"/>
      <c r="J4" s="3"/>
    </row>
    <row r="5" spans="1:14" s="4" customFormat="1" ht="27" customHeight="1">
      <c r="A5" s="588"/>
      <c r="B5" s="589"/>
      <c r="C5" s="462" t="s">
        <v>356</v>
      </c>
      <c r="D5" s="463" t="s">
        <v>136</v>
      </c>
      <c r="E5" s="462" t="s">
        <v>133</v>
      </c>
      <c r="F5" s="464" t="s">
        <v>134</v>
      </c>
      <c r="G5" s="586"/>
      <c r="H5" s="3"/>
      <c r="I5" s="3"/>
      <c r="J5" s="3"/>
    </row>
    <row r="6" spans="1:14" s="4" customFormat="1" ht="12.75" hidden="1">
      <c r="A6" s="8">
        <v>1</v>
      </c>
      <c r="B6" s="9" t="s">
        <v>137</v>
      </c>
      <c r="C6" s="465">
        <f>SUM('1.1.A. Iesniedzējs:1.3.2. Partneris-kom.-2'!F7)</f>
        <v>0</v>
      </c>
      <c r="D6" s="466">
        <f>SUM('1.1.A. Iesniedzējs:1.3.2. Partneris-kom.-2'!G7)</f>
        <v>0</v>
      </c>
      <c r="E6" s="465">
        <f>SUM(C6:D6)</f>
        <v>0</v>
      </c>
      <c r="F6" s="467">
        <f>E6/$E$23</f>
        <v>0</v>
      </c>
      <c r="G6" s="38">
        <f>ROUND(E6/121*21,2)</f>
        <v>0</v>
      </c>
      <c r="H6" s="3"/>
      <c r="I6" s="3"/>
      <c r="J6" s="3"/>
    </row>
    <row r="7" spans="1:14" s="4" customFormat="1" ht="12.75">
      <c r="A7" s="8">
        <v>2</v>
      </c>
      <c r="B7" s="9" t="s">
        <v>138</v>
      </c>
      <c r="C7" s="465">
        <f>SUM('1.1.A. Iesniedzējs:1.3.2. Partneris-kom.-2'!F8)</f>
        <v>10000</v>
      </c>
      <c r="D7" s="466">
        <f>SUM('1.1.A. Iesniedzējs:1.3.2. Partneris-kom.-2'!G8)</f>
        <v>0</v>
      </c>
      <c r="E7" s="465">
        <f t="shared" ref="E7:E22" si="0">SUM(C7:D7)</f>
        <v>10000</v>
      </c>
      <c r="F7" s="467">
        <f t="shared" ref="F7:F22" si="1">E7/$E$23</f>
        <v>7.6687116564417178E-3</v>
      </c>
      <c r="G7" s="38">
        <f t="shared" ref="G7:G22" si="2">ROUND(E7/121*21,2)</f>
        <v>1735.54</v>
      </c>
      <c r="H7" s="3"/>
      <c r="I7" s="3"/>
      <c r="J7" s="3"/>
    </row>
    <row r="8" spans="1:14" s="4" customFormat="1" ht="12.75">
      <c r="A8" s="8">
        <v>3</v>
      </c>
      <c r="B8" s="9" t="s">
        <v>139</v>
      </c>
      <c r="C8" s="465">
        <f>SUM('1.1.A. Iesniedzējs:1.3.2. Partneris-kom.-2'!F9)</f>
        <v>0</v>
      </c>
      <c r="D8" s="466">
        <f>SUM('1.1.A. Iesniedzējs:1.3.2. Partneris-kom.-2'!G9)</f>
        <v>0</v>
      </c>
      <c r="E8" s="465">
        <f t="shared" si="0"/>
        <v>0</v>
      </c>
      <c r="F8" s="467">
        <f t="shared" si="1"/>
        <v>0</v>
      </c>
      <c r="G8" s="38">
        <f t="shared" si="2"/>
        <v>0</v>
      </c>
      <c r="H8" s="3"/>
      <c r="I8" s="3"/>
      <c r="J8" s="3"/>
    </row>
    <row r="9" spans="1:14" s="4" customFormat="1" ht="12.75" hidden="1">
      <c r="A9" s="8">
        <v>4</v>
      </c>
      <c r="B9" s="9" t="s">
        <v>140</v>
      </c>
      <c r="C9" s="465">
        <f>SUM('1.1.A. Iesniedzējs:1.3.2. Partneris-kom.-2'!F10)</f>
        <v>0</v>
      </c>
      <c r="D9" s="466">
        <f>SUM('1.1.A. Iesniedzējs:1.3.2. Partneris-kom.-2'!G10)</f>
        <v>0</v>
      </c>
      <c r="E9" s="465">
        <f t="shared" si="0"/>
        <v>0</v>
      </c>
      <c r="F9" s="467">
        <f t="shared" si="1"/>
        <v>0</v>
      </c>
      <c r="G9" s="38">
        <f t="shared" si="2"/>
        <v>0</v>
      </c>
      <c r="H9" s="3"/>
      <c r="I9" s="3"/>
      <c r="J9" s="3"/>
    </row>
    <row r="10" spans="1:14" s="4" customFormat="1" ht="12.75" hidden="1">
      <c r="A10" s="8">
        <v>5</v>
      </c>
      <c r="B10" s="9" t="s">
        <v>141</v>
      </c>
      <c r="C10" s="465">
        <f>SUM('1.1.A. Iesniedzējs:1.3.2. Partneris-kom.-2'!F11)</f>
        <v>0</v>
      </c>
      <c r="D10" s="466">
        <f>SUM('1.1.A. Iesniedzējs:1.3.2. Partneris-kom.-2'!G11)</f>
        <v>0</v>
      </c>
      <c r="E10" s="465">
        <f t="shared" si="0"/>
        <v>0</v>
      </c>
      <c r="F10" s="467">
        <f t="shared" si="1"/>
        <v>0</v>
      </c>
      <c r="G10" s="38">
        <f t="shared" si="2"/>
        <v>0</v>
      </c>
      <c r="H10" s="3"/>
      <c r="I10" s="3"/>
      <c r="J10" s="3"/>
    </row>
    <row r="11" spans="1:14" s="4" customFormat="1" ht="12.75">
      <c r="A11" s="8">
        <v>6</v>
      </c>
      <c r="B11" s="9" t="s">
        <v>142</v>
      </c>
      <c r="C11" s="465">
        <f>SUM('1.1.A. Iesniedzējs:1.3.2. Partneris-kom.-2'!F12)</f>
        <v>1240000</v>
      </c>
      <c r="D11" s="466">
        <f>SUM('1.1.A. Iesniedzējs:1.3.2. Partneris-kom.-2'!G12)</f>
        <v>0</v>
      </c>
      <c r="E11" s="465">
        <f t="shared" si="0"/>
        <v>1240000</v>
      </c>
      <c r="F11" s="467">
        <f t="shared" si="1"/>
        <v>0.95092024539877296</v>
      </c>
      <c r="G11" s="38">
        <f t="shared" si="2"/>
        <v>215206.61</v>
      </c>
      <c r="H11" s="3"/>
      <c r="I11" s="3"/>
      <c r="J11" s="3"/>
    </row>
    <row r="12" spans="1:14" s="4" customFormat="1" ht="12.75">
      <c r="A12" s="8">
        <v>7</v>
      </c>
      <c r="B12" s="9" t="s">
        <v>143</v>
      </c>
      <c r="C12" s="465">
        <f>SUM('1.1.A. Iesniedzējs:1.3.2. Partneris-kom.-2'!F13)</f>
        <v>2000</v>
      </c>
      <c r="D12" s="466">
        <f>SUM('1.1.A. Iesniedzējs:1.3.2. Partneris-kom.-2'!G13)</f>
        <v>0</v>
      </c>
      <c r="E12" s="465">
        <f t="shared" si="0"/>
        <v>2000</v>
      </c>
      <c r="F12" s="467">
        <f t="shared" si="1"/>
        <v>1.5337423312883436E-3</v>
      </c>
      <c r="G12" s="38">
        <f t="shared" si="2"/>
        <v>347.11</v>
      </c>
      <c r="H12" s="3"/>
      <c r="I12" s="3"/>
      <c r="J12" s="3"/>
    </row>
    <row r="13" spans="1:14" s="4" customFormat="1" ht="12.75" hidden="1">
      <c r="A13" s="11" t="s">
        <v>144</v>
      </c>
      <c r="B13" s="12"/>
      <c r="C13" s="465">
        <f>SUM('1.1.A. Iesniedzējs:1.3.2. Partneris-kom.-2'!F14)</f>
        <v>0</v>
      </c>
      <c r="D13" s="466">
        <f>SUM('1.1.A. Iesniedzējs:1.3.2. Partneris-kom.-2'!G14)</f>
        <v>0</v>
      </c>
      <c r="E13" s="465">
        <f t="shared" si="0"/>
        <v>0</v>
      </c>
      <c r="F13" s="467">
        <f t="shared" si="1"/>
        <v>0</v>
      </c>
      <c r="G13" s="38">
        <f t="shared" si="2"/>
        <v>0</v>
      </c>
      <c r="H13" s="3"/>
      <c r="I13" s="3"/>
      <c r="J13" s="3"/>
    </row>
    <row r="14" spans="1:14" s="4" customFormat="1" ht="12.75" hidden="1">
      <c r="A14" s="11" t="s">
        <v>145</v>
      </c>
      <c r="B14" s="12"/>
      <c r="C14" s="465">
        <f>SUM('1.1.A. Iesniedzējs:1.3.2. Partneris-kom.-2'!F15)</f>
        <v>0</v>
      </c>
      <c r="D14" s="466">
        <f>SUM('1.1.A. Iesniedzējs:1.3.2. Partneris-kom.-2'!G15)</f>
        <v>0</v>
      </c>
      <c r="E14" s="465">
        <f t="shared" si="0"/>
        <v>0</v>
      </c>
      <c r="F14" s="467">
        <f t="shared" si="1"/>
        <v>0</v>
      </c>
      <c r="G14" s="38">
        <f t="shared" si="2"/>
        <v>0</v>
      </c>
      <c r="H14" s="3"/>
      <c r="I14" s="3"/>
      <c r="J14" s="3"/>
    </row>
    <row r="15" spans="1:14" s="4" customFormat="1" ht="12.75" hidden="1">
      <c r="A15" s="8">
        <v>8</v>
      </c>
      <c r="B15" s="9" t="s">
        <v>146</v>
      </c>
      <c r="C15" s="465">
        <f>SUM('1.1.A. Iesniedzējs:1.3.2. Partneris-kom.-2'!F16)</f>
        <v>0</v>
      </c>
      <c r="D15" s="466">
        <f>SUM('1.1.A. Iesniedzējs:1.3.2. Partneris-kom.-2'!G16)</f>
        <v>0</v>
      </c>
      <c r="E15" s="465">
        <f t="shared" si="0"/>
        <v>0</v>
      </c>
      <c r="F15" s="467">
        <f t="shared" si="1"/>
        <v>0</v>
      </c>
      <c r="G15" s="38">
        <f t="shared" si="2"/>
        <v>0</v>
      </c>
      <c r="H15" s="3"/>
      <c r="I15" s="3"/>
      <c r="J15" s="3"/>
    </row>
    <row r="16" spans="1:14" s="4" customFormat="1" ht="12.75" hidden="1">
      <c r="A16" s="8">
        <v>9</v>
      </c>
      <c r="B16" s="9" t="s">
        <v>147</v>
      </c>
      <c r="C16" s="465">
        <f>SUM('1.1.A. Iesniedzējs:1.3.2. Partneris-kom.-2'!F17)</f>
        <v>0</v>
      </c>
      <c r="D16" s="466">
        <f>SUM('1.1.A. Iesniedzējs:1.3.2. Partneris-kom.-2'!G17)</f>
        <v>0</v>
      </c>
      <c r="E16" s="465">
        <f t="shared" si="0"/>
        <v>0</v>
      </c>
      <c r="F16" s="467">
        <f t="shared" si="1"/>
        <v>0</v>
      </c>
      <c r="G16" s="38">
        <f t="shared" si="2"/>
        <v>0</v>
      </c>
      <c r="H16" s="3"/>
      <c r="I16" s="3"/>
      <c r="J16" s="3"/>
      <c r="N16" s="468"/>
    </row>
    <row r="17" spans="1:14" s="4" customFormat="1" ht="12.75">
      <c r="A17" s="8">
        <v>10</v>
      </c>
      <c r="B17" s="9" t="s">
        <v>148</v>
      </c>
      <c r="C17" s="465">
        <f>SUM('1.1.A. Iesniedzējs:1.3.2. Partneris-kom.-2'!F18)</f>
        <v>2000</v>
      </c>
      <c r="D17" s="466">
        <f>SUM('1.1.A. Iesniedzējs:1.3.2. Partneris-kom.-2'!G18)</f>
        <v>0</v>
      </c>
      <c r="E17" s="465">
        <f t="shared" si="0"/>
        <v>2000</v>
      </c>
      <c r="F17" s="467">
        <f t="shared" si="1"/>
        <v>1.5337423312883436E-3</v>
      </c>
      <c r="G17" s="38">
        <f t="shared" si="2"/>
        <v>347.11</v>
      </c>
      <c r="H17" s="3"/>
      <c r="I17" s="3"/>
      <c r="J17" s="3"/>
      <c r="N17" s="468"/>
    </row>
    <row r="18" spans="1:14" s="4" customFormat="1" ht="25.5">
      <c r="A18" s="8">
        <v>11</v>
      </c>
      <c r="B18" s="9" t="s">
        <v>149</v>
      </c>
      <c r="C18" s="465">
        <f>SUM('1.1.A. Iesniedzējs:1.3.2. Partneris-kom.-2'!F19)</f>
        <v>0</v>
      </c>
      <c r="D18" s="466">
        <f>SUM('1.1.A. Iesniedzējs:1.3.2. Partneris-kom.-2'!G19)</f>
        <v>0</v>
      </c>
      <c r="E18" s="465">
        <f t="shared" si="0"/>
        <v>0</v>
      </c>
      <c r="F18" s="467">
        <f t="shared" si="1"/>
        <v>0</v>
      </c>
      <c r="G18" s="38">
        <f t="shared" si="2"/>
        <v>0</v>
      </c>
      <c r="H18" s="3"/>
      <c r="I18" s="3"/>
      <c r="J18" s="3"/>
      <c r="N18" s="468"/>
    </row>
    <row r="19" spans="1:14" s="4" customFormat="1" ht="12.75" hidden="1">
      <c r="A19" s="8">
        <v>12</v>
      </c>
      <c r="B19" s="9" t="s">
        <v>150</v>
      </c>
      <c r="C19" s="465">
        <f>SUM('1.1.A. Iesniedzējs:1.3.2. Partneris-kom.-2'!F20)</f>
        <v>0</v>
      </c>
      <c r="D19" s="466">
        <f>SUM('1.1.A. Iesniedzējs:1.3.2. Partneris-kom.-2'!G20)</f>
        <v>0</v>
      </c>
      <c r="E19" s="465">
        <f t="shared" si="0"/>
        <v>0</v>
      </c>
      <c r="F19" s="467">
        <f t="shared" si="1"/>
        <v>0</v>
      </c>
      <c r="G19" s="38">
        <f t="shared" si="2"/>
        <v>0</v>
      </c>
      <c r="H19" s="3"/>
      <c r="I19" s="3"/>
      <c r="J19" s="3"/>
      <c r="N19" s="468"/>
    </row>
    <row r="20" spans="1:14" s="4" customFormat="1" ht="12.75">
      <c r="A20" s="8">
        <v>13</v>
      </c>
      <c r="B20" s="9" t="s">
        <v>151</v>
      </c>
      <c r="C20" s="465">
        <f>SUM('1.1.A. Iesniedzējs:1.3.2. Partneris-kom.-2'!F21)</f>
        <v>0</v>
      </c>
      <c r="D20" s="466">
        <f>SUM('1.1.A. Iesniedzējs:1.3.2. Partneris-kom.-2'!G21)</f>
        <v>0</v>
      </c>
      <c r="E20" s="465">
        <f t="shared" si="0"/>
        <v>0</v>
      </c>
      <c r="F20" s="467">
        <f t="shared" si="1"/>
        <v>0</v>
      </c>
      <c r="G20" s="38">
        <f t="shared" si="2"/>
        <v>0</v>
      </c>
      <c r="H20" s="3"/>
      <c r="I20" s="3"/>
      <c r="J20" s="3"/>
      <c r="N20" s="468"/>
    </row>
    <row r="21" spans="1:14" s="4" customFormat="1" ht="12.75" hidden="1">
      <c r="A21" s="8">
        <v>14</v>
      </c>
      <c r="B21" s="9" t="s">
        <v>152</v>
      </c>
      <c r="C21" s="465">
        <f>SUM('1.1.A. Iesniedzējs:1.3.2. Partneris-kom.-2'!F22)</f>
        <v>0</v>
      </c>
      <c r="D21" s="466">
        <f>SUM('1.1.A. Iesniedzējs:1.3.2. Partneris-kom.-2'!G22)</f>
        <v>0</v>
      </c>
      <c r="E21" s="465">
        <f t="shared" si="0"/>
        <v>0</v>
      </c>
      <c r="F21" s="467">
        <f t="shared" si="1"/>
        <v>0</v>
      </c>
      <c r="G21" s="38">
        <f t="shared" si="2"/>
        <v>0</v>
      </c>
      <c r="H21" s="3"/>
      <c r="I21" s="3"/>
      <c r="J21" s="3"/>
      <c r="N21" s="468"/>
    </row>
    <row r="22" spans="1:14" s="4" customFormat="1" ht="12.75">
      <c r="A22" s="8">
        <v>15</v>
      </c>
      <c r="B22" s="9" t="s">
        <v>153</v>
      </c>
      <c r="C22" s="465">
        <f>SUM('1.1.A. Iesniedzējs:1.3.2. Partneris-kom.-2'!F23)</f>
        <v>50000</v>
      </c>
      <c r="D22" s="466">
        <f>SUM('1.1.A. Iesniedzējs:1.3.2. Partneris-kom.-2'!G23)</f>
        <v>0</v>
      </c>
      <c r="E22" s="465">
        <f t="shared" si="0"/>
        <v>50000</v>
      </c>
      <c r="F22" s="467">
        <f t="shared" si="1"/>
        <v>3.834355828220859E-2</v>
      </c>
      <c r="G22" s="38">
        <f t="shared" si="2"/>
        <v>8677.69</v>
      </c>
      <c r="H22" s="3"/>
      <c r="I22" s="3"/>
      <c r="J22" s="3"/>
      <c r="N22" s="468"/>
    </row>
    <row r="23" spans="1:14" s="4" customFormat="1" ht="12.75">
      <c r="A23" s="469"/>
      <c r="B23" s="470" t="s">
        <v>154</v>
      </c>
      <c r="C23" s="471">
        <f>SUM('1.1.A. Iesniedzējs:1.3.2. Partneris-kom.-2'!F24)</f>
        <v>1304000</v>
      </c>
      <c r="D23" s="472">
        <f>SUM('1.1.A. Iesniedzējs:1.3.2. Partneris-kom.-2'!G24)</f>
        <v>0</v>
      </c>
      <c r="E23" s="471">
        <f t="shared" ref="E23" si="3">SUM(C23:D23)</f>
        <v>1304000</v>
      </c>
      <c r="F23" s="473">
        <f>E23/$E$23</f>
        <v>1</v>
      </c>
      <c r="G23" s="39">
        <f>G6+G7+G8+G9+G10+G11+G12+G15+G16+G17+G18+G19+G20+G21+G22</f>
        <v>226314.05999999997</v>
      </c>
      <c r="H23" s="3"/>
      <c r="I23" s="3"/>
      <c r="J23" s="3"/>
    </row>
    <row r="24" spans="1:14" s="4" customFormat="1" ht="12.75">
      <c r="A24" s="3"/>
      <c r="B24" s="3"/>
      <c r="C24" s="3"/>
      <c r="D24" s="3"/>
      <c r="E24" s="3"/>
      <c r="F24" s="3"/>
      <c r="G24" s="3"/>
      <c r="H24" s="3"/>
      <c r="I24" s="3"/>
      <c r="J24" s="3"/>
    </row>
    <row r="25" spans="1:14" s="4" customFormat="1" ht="12.75">
      <c r="A25" s="3" t="s">
        <v>357</v>
      </c>
      <c r="B25" s="3"/>
      <c r="C25" s="3"/>
      <c r="D25" s="3"/>
      <c r="E25" s="3"/>
      <c r="F25" s="3"/>
      <c r="G25" s="3"/>
      <c r="H25" s="3"/>
      <c r="I25" s="3"/>
      <c r="J25" s="3"/>
    </row>
    <row r="26" spans="1:14" s="4" customFormat="1" ht="12.75">
      <c r="A26" s="3" t="s">
        <v>358</v>
      </c>
      <c r="B26" s="3"/>
      <c r="C26" s="3"/>
      <c r="D26" s="3"/>
      <c r="E26" s="3"/>
      <c r="F26" s="3"/>
      <c r="G26" s="3"/>
      <c r="H26" s="3"/>
      <c r="I26" s="3"/>
      <c r="J26" s="3"/>
    </row>
    <row r="27" spans="1:14" s="4" customFormat="1" ht="12.75">
      <c r="A27" s="3"/>
      <c r="B27" s="3"/>
      <c r="C27" s="3"/>
      <c r="D27" s="3"/>
      <c r="E27" s="3"/>
      <c r="F27" s="3"/>
      <c r="G27" s="3"/>
      <c r="H27" s="3"/>
      <c r="I27" s="3"/>
      <c r="J27" s="3"/>
    </row>
    <row r="28" spans="1:14">
      <c r="A28" s="459"/>
      <c r="B28" s="459"/>
      <c r="C28" s="459"/>
      <c r="D28" s="459"/>
      <c r="E28" s="459"/>
      <c r="F28" s="459"/>
      <c r="G28" s="459"/>
      <c r="H28" s="459"/>
      <c r="I28" s="459"/>
      <c r="J28" s="459"/>
    </row>
    <row r="29" spans="1:14">
      <c r="A29" s="459"/>
      <c r="B29" s="459"/>
      <c r="C29" s="459"/>
      <c r="D29" s="459"/>
      <c r="E29" s="459"/>
      <c r="F29" s="459"/>
      <c r="G29" s="459"/>
      <c r="H29" s="459"/>
      <c r="I29" s="459"/>
      <c r="J29" s="459"/>
    </row>
    <row r="30" spans="1:14">
      <c r="A30" s="474"/>
      <c r="B30" s="459"/>
      <c r="C30" s="459"/>
      <c r="D30" s="459"/>
      <c r="E30" s="459"/>
      <c r="F30" s="459"/>
      <c r="G30" s="459"/>
      <c r="H30" s="459"/>
      <c r="I30" s="459"/>
      <c r="J30" s="459"/>
    </row>
    <row r="31" spans="1:14">
      <c r="A31" s="459"/>
      <c r="B31" s="459"/>
      <c r="C31" s="459"/>
      <c r="D31" s="459"/>
      <c r="E31" s="459"/>
      <c r="F31" s="459"/>
      <c r="G31" s="459"/>
      <c r="H31" s="459"/>
      <c r="I31" s="459"/>
      <c r="J31" s="459"/>
    </row>
    <row r="32" spans="1:14">
      <c r="A32" s="459"/>
      <c r="B32" s="459"/>
      <c r="C32" s="459"/>
      <c r="D32" s="459"/>
      <c r="E32" s="459"/>
      <c r="F32" s="459"/>
      <c r="G32" s="459"/>
      <c r="H32" s="459"/>
      <c r="I32" s="459"/>
      <c r="J32" s="459"/>
    </row>
    <row r="33" spans="1:10">
      <c r="A33" s="459"/>
      <c r="B33" s="459"/>
      <c r="C33" s="459"/>
      <c r="D33" s="459"/>
      <c r="E33" s="459"/>
      <c r="F33" s="459"/>
      <c r="G33" s="459"/>
      <c r="H33" s="459"/>
      <c r="I33" s="459"/>
      <c r="J33" s="459"/>
    </row>
    <row r="34" spans="1:10">
      <c r="A34" s="459"/>
      <c r="B34" s="459"/>
      <c r="C34" s="459"/>
      <c r="D34" s="459"/>
      <c r="E34" s="459"/>
      <c r="F34" s="459"/>
      <c r="G34" s="459"/>
      <c r="H34" s="459"/>
      <c r="I34" s="459"/>
      <c r="J34" s="459"/>
    </row>
    <row r="35" spans="1:10">
      <c r="A35" s="459"/>
      <c r="B35" s="459"/>
      <c r="C35" s="459"/>
      <c r="D35" s="459"/>
      <c r="E35" s="459"/>
      <c r="F35" s="459"/>
      <c r="G35" s="459"/>
      <c r="H35" s="459"/>
      <c r="I35" s="459"/>
      <c r="J35" s="459"/>
    </row>
    <row r="36" spans="1:10">
      <c r="A36" s="459"/>
      <c r="B36" s="459"/>
      <c r="C36" s="459"/>
      <c r="D36" s="459"/>
      <c r="E36" s="459"/>
      <c r="F36" s="459"/>
      <c r="G36" s="459"/>
      <c r="H36" s="459"/>
      <c r="I36" s="459"/>
      <c r="J36" s="459"/>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22" zoomScale="90" zoomScaleNormal="90" workbookViewId="0">
      <selection activeCell="C95" sqref="C95"/>
    </sheetView>
  </sheetViews>
  <sheetFormatPr defaultColWidth="9.140625" defaultRowHeight="12.75"/>
  <cols>
    <col min="1" max="1" width="13.28515625" style="60" customWidth="1"/>
    <col min="2" max="2" width="26.28515625" style="60" customWidth="1"/>
    <col min="3" max="3" width="38.28515625" style="60" customWidth="1"/>
    <col min="4" max="4" width="15.42578125" style="60" customWidth="1"/>
    <col min="5" max="5" width="14.5703125" style="60" customWidth="1"/>
    <col min="6" max="6" width="12.85546875" style="60" bestFit="1" customWidth="1"/>
    <col min="7" max="7" width="16.42578125" style="60" customWidth="1"/>
    <col min="8" max="16384" width="9.140625" style="60"/>
  </cols>
  <sheetData>
    <row r="1" spans="1:8">
      <c r="G1" s="82" t="s">
        <v>359</v>
      </c>
    </row>
    <row r="2" spans="1:8">
      <c r="G2" s="82"/>
    </row>
    <row r="3" spans="1:8">
      <c r="A3" s="617" t="s">
        <v>360</v>
      </c>
      <c r="B3" s="617"/>
      <c r="C3" s="617"/>
      <c r="D3" s="617"/>
      <c r="E3" s="617"/>
      <c r="F3" s="617"/>
      <c r="G3" s="617"/>
    </row>
    <row r="4" spans="1:8" ht="12.75" customHeight="1">
      <c r="A4" s="618" t="s">
        <v>361</v>
      </c>
      <c r="B4" s="618"/>
      <c r="C4" s="619"/>
      <c r="D4" s="619"/>
      <c r="E4" s="619"/>
      <c r="F4" s="619"/>
      <c r="G4" s="619"/>
    </row>
    <row r="5" spans="1:8">
      <c r="A5" s="620"/>
      <c r="B5" s="620"/>
      <c r="C5" s="620"/>
      <c r="D5" s="620"/>
      <c r="E5" s="620"/>
      <c r="F5" s="620"/>
      <c r="G5" s="620"/>
    </row>
    <row r="6" spans="1:8">
      <c r="A6" s="621" t="s">
        <v>362</v>
      </c>
      <c r="B6" s="621"/>
      <c r="C6" s="621"/>
      <c r="D6" s="621"/>
      <c r="E6" s="621"/>
      <c r="F6" s="621"/>
      <c r="G6" s="621"/>
    </row>
    <row r="7" spans="1:8">
      <c r="A7" s="617" t="s">
        <v>363</v>
      </c>
      <c r="B7" s="617"/>
      <c r="C7" s="617"/>
      <c r="D7" s="617"/>
      <c r="E7" s="617"/>
      <c r="F7" s="617"/>
      <c r="G7" s="617"/>
    </row>
    <row r="8" spans="1:8" ht="14.25" customHeight="1">
      <c r="A8" s="621"/>
      <c r="B8" s="621"/>
      <c r="C8" s="621"/>
      <c r="D8" s="621"/>
      <c r="E8" s="621"/>
      <c r="F8" s="621"/>
      <c r="G8" s="621"/>
    </row>
    <row r="9" spans="1:8">
      <c r="A9" s="622" t="s">
        <v>364</v>
      </c>
      <c r="B9" s="622"/>
      <c r="C9" s="622"/>
      <c r="D9" s="622"/>
      <c r="E9" s="622"/>
      <c r="F9" s="622"/>
      <c r="G9" s="622"/>
    </row>
    <row r="10" spans="1:8">
      <c r="A10" s="622"/>
      <c r="B10" s="622"/>
      <c r="C10" s="622"/>
      <c r="D10" s="622"/>
      <c r="E10" s="622"/>
      <c r="F10" s="622"/>
      <c r="G10" s="622"/>
    </row>
    <row r="11" spans="1:8">
      <c r="A11" s="622"/>
      <c r="B11" s="622"/>
      <c r="C11" s="622"/>
      <c r="D11" s="622"/>
      <c r="E11" s="622"/>
      <c r="F11" s="622"/>
      <c r="G11" s="622"/>
    </row>
    <row r="12" spans="1:8" ht="62.25" customHeight="1">
      <c r="A12" s="593"/>
      <c r="B12" s="594"/>
      <c r="C12" s="594"/>
      <c r="D12" s="594"/>
      <c r="E12" s="594"/>
      <c r="F12" s="594"/>
      <c r="G12" s="595"/>
    </row>
    <row r="14" spans="1:8" s="50" customFormat="1" ht="12.75" customHeight="1">
      <c r="A14" s="623" t="s">
        <v>365</v>
      </c>
      <c r="B14" s="603"/>
      <c r="C14" s="624"/>
      <c r="D14" s="624"/>
      <c r="E14" s="624"/>
      <c r="F14" s="624"/>
      <c r="G14" s="625"/>
      <c r="H14" s="49"/>
    </row>
    <row r="15" spans="1:8" s="50" customFormat="1">
      <c r="A15" s="51" t="s">
        <v>127</v>
      </c>
      <c r="B15" s="626" t="s">
        <v>366</v>
      </c>
      <c r="C15" s="627"/>
      <c r="D15" s="137" t="s">
        <v>367</v>
      </c>
      <c r="E15" s="616"/>
      <c r="F15" s="616"/>
      <c r="G15" s="3"/>
    </row>
    <row r="16" spans="1:8" s="50" customFormat="1" ht="15" customHeight="1">
      <c r="A16" s="134">
        <v>1</v>
      </c>
      <c r="B16" s="628" t="s">
        <v>5</v>
      </c>
      <c r="C16" s="629"/>
      <c r="D16" s="79">
        <f>'Dati par projektu'!C16</f>
        <v>15</v>
      </c>
      <c r="E16" s="616"/>
      <c r="F16" s="616"/>
      <c r="G16" s="3"/>
    </row>
    <row r="17" spans="1:7" s="50" customFormat="1" ht="15" customHeight="1">
      <c r="A17" s="52">
        <v>2</v>
      </c>
      <c r="B17" s="614" t="s">
        <v>368</v>
      </c>
      <c r="C17" s="615"/>
      <c r="D17" s="53">
        <f>'6. DL finanšu_analīze'!F3</f>
        <v>0.04</v>
      </c>
      <c r="E17" s="616"/>
      <c r="F17" s="616"/>
      <c r="G17" s="3"/>
    </row>
    <row r="18" spans="1:7" s="50" customFormat="1">
      <c r="A18" s="630" t="s">
        <v>127</v>
      </c>
      <c r="B18" s="631" t="s">
        <v>366</v>
      </c>
      <c r="C18" s="632"/>
      <c r="D18" s="630" t="s">
        <v>369</v>
      </c>
      <c r="E18" s="630" t="s">
        <v>370</v>
      </c>
      <c r="F18" s="626" t="s">
        <v>371</v>
      </c>
      <c r="G18" s="606"/>
    </row>
    <row r="19" spans="1:7" s="50" customFormat="1">
      <c r="A19" s="630"/>
      <c r="B19" s="633"/>
      <c r="C19" s="634"/>
      <c r="D19" s="630"/>
      <c r="E19" s="630"/>
      <c r="F19" s="635" t="s">
        <v>372</v>
      </c>
      <c r="G19" s="606"/>
    </row>
    <row r="20" spans="1:7" s="50" customFormat="1" ht="15" customHeight="1">
      <c r="A20" s="134">
        <v>3</v>
      </c>
      <c r="B20" s="628" t="s">
        <v>373</v>
      </c>
      <c r="C20" s="629"/>
      <c r="D20" s="54">
        <f>-'6. DL finanšu_analīze'!G24</f>
        <v>1254000</v>
      </c>
      <c r="E20" s="54">
        <f>-'6. DL finanšu_analīze'!F24</f>
        <v>1252961.5384615385</v>
      </c>
      <c r="F20" s="636" t="s">
        <v>374</v>
      </c>
      <c r="G20" s="636"/>
    </row>
    <row r="21" spans="1:7" s="50" customFormat="1" ht="15" customHeight="1">
      <c r="A21" s="134">
        <v>4</v>
      </c>
      <c r="B21" s="628" t="s">
        <v>375</v>
      </c>
      <c r="C21" s="629"/>
      <c r="D21" s="54">
        <f>'6. DL finanšu_analīze'!G26</f>
        <v>80000</v>
      </c>
      <c r="E21" s="54">
        <f>'6. DL finanšu_analīze'!F26</f>
        <v>46198.006625744456</v>
      </c>
      <c r="F21" s="636" t="s">
        <v>374</v>
      </c>
      <c r="G21" s="636"/>
    </row>
    <row r="22" spans="1:7" s="50" customFormat="1" ht="15" customHeight="1">
      <c r="A22" s="134">
        <v>5</v>
      </c>
      <c r="B22" s="628" t="s">
        <v>376</v>
      </c>
      <c r="C22" s="629"/>
      <c r="D22" s="80"/>
      <c r="E22" s="54">
        <f>'6. DL finanšu_analīze'!F22</f>
        <v>0</v>
      </c>
      <c r="F22" s="636" t="s">
        <v>374</v>
      </c>
      <c r="G22" s="636"/>
    </row>
    <row r="23" spans="1:7" s="50" customFormat="1" ht="15" customHeight="1">
      <c r="A23" s="134">
        <v>6</v>
      </c>
      <c r="B23" s="590" t="s">
        <v>377</v>
      </c>
      <c r="C23" s="592"/>
      <c r="D23" s="80"/>
      <c r="E23" s="54">
        <f>-'6. DL finanšu_analīze'!F23</f>
        <v>-46953.078318372311</v>
      </c>
      <c r="F23" s="636" t="s">
        <v>374</v>
      </c>
      <c r="G23" s="636"/>
    </row>
    <row r="24" spans="1:7" s="50" customFormat="1">
      <c r="A24" s="637"/>
      <c r="B24" s="638"/>
      <c r="C24" s="638"/>
      <c r="D24" s="638"/>
      <c r="E24" s="638"/>
    </row>
    <row r="25" spans="1:7" s="50" customFormat="1" ht="12.75" hidden="1" customHeight="1">
      <c r="A25" s="63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9"/>
      <c r="C25" s="639"/>
      <c r="D25" s="639"/>
      <c r="E25" s="639"/>
      <c r="F25" s="639"/>
      <c r="G25" s="639"/>
    </row>
    <row r="26" spans="1:7" s="50" customFormat="1" hidden="1">
      <c r="D26" s="56"/>
    </row>
    <row r="27" spans="1:7" s="50" customFormat="1" ht="12.75" hidden="1" customHeight="1">
      <c r="A27" s="601" t="s">
        <v>378</v>
      </c>
      <c r="B27" s="602"/>
      <c r="C27" s="603"/>
      <c r="D27" s="603"/>
      <c r="E27" s="603"/>
      <c r="F27" s="603"/>
      <c r="G27" s="604"/>
    </row>
    <row r="28" spans="1:7" s="50" customFormat="1" hidden="1">
      <c r="A28" s="51"/>
      <c r="B28" s="631" t="s">
        <v>366</v>
      </c>
      <c r="C28" s="632"/>
      <c r="D28" s="630" t="s">
        <v>369</v>
      </c>
      <c r="E28" s="630" t="s">
        <v>370</v>
      </c>
      <c r="F28" s="626" t="s">
        <v>371</v>
      </c>
      <c r="G28" s="606"/>
    </row>
    <row r="29" spans="1:7" s="50" customFormat="1" hidden="1">
      <c r="A29" s="57"/>
      <c r="B29" s="633"/>
      <c r="C29" s="634"/>
      <c r="D29" s="630"/>
      <c r="E29" s="630"/>
      <c r="F29" s="635" t="s">
        <v>372</v>
      </c>
      <c r="G29" s="606"/>
    </row>
    <row r="30" spans="1:7" s="50" customFormat="1" ht="24" hidden="1" customHeight="1">
      <c r="A30" s="58">
        <v>7</v>
      </c>
      <c r="B30" s="640" t="s">
        <v>379</v>
      </c>
      <c r="C30" s="641"/>
      <c r="D30" s="80"/>
      <c r="E30" s="54">
        <f>IF(('3. DL invest.n.pl.AR pr.'!AJ9+'3. DL invest.n.pl.AR pr.'!AJ16)&gt;0,'11. DL 4.pielikums'!E21+'11. DL 4.pielikums'!E22-'11. DL 4.pielikums'!E23,0)</f>
        <v>0</v>
      </c>
      <c r="F30" s="636" t="s">
        <v>374</v>
      </c>
      <c r="G30" s="636"/>
    </row>
    <row r="31" spans="1:7" s="50" customFormat="1" ht="24" hidden="1" customHeight="1">
      <c r="A31" s="134">
        <v>8</v>
      </c>
      <c r="B31" s="640" t="s">
        <v>380</v>
      </c>
      <c r="C31" s="641"/>
      <c r="D31" s="80"/>
      <c r="E31" s="54">
        <f>E20-E30</f>
        <v>1252961.5384615385</v>
      </c>
      <c r="F31" s="636" t="s">
        <v>374</v>
      </c>
      <c r="G31" s="636"/>
    </row>
    <row r="32" spans="1:7" s="50" customFormat="1" ht="26.25" hidden="1" customHeight="1">
      <c r="A32" s="134">
        <v>9</v>
      </c>
      <c r="B32" s="640" t="s">
        <v>381</v>
      </c>
      <c r="C32" s="641"/>
      <c r="D32" s="80"/>
      <c r="E32" s="59">
        <f>IF(E20=0,0,IF(E31/E20&gt;100%,100%,E31/E20))</f>
        <v>1</v>
      </c>
      <c r="F32" s="636" t="s">
        <v>374</v>
      </c>
      <c r="G32" s="636"/>
    </row>
    <row r="33" spans="1:7" s="50" customFormat="1" ht="36" hidden="1" customHeight="1">
      <c r="A33" s="134">
        <v>10</v>
      </c>
      <c r="B33" s="640" t="s">
        <v>382</v>
      </c>
      <c r="C33" s="641"/>
      <c r="D33" s="80"/>
      <c r="E33" s="517">
        <f>G35*E32</f>
        <v>0.85</v>
      </c>
      <c r="F33" s="636" t="s">
        <v>374</v>
      </c>
      <c r="G33" s="636"/>
    </row>
    <row r="34" spans="1:7" hidden="1"/>
    <row r="35" spans="1:7" hidden="1">
      <c r="A35" s="99" t="s">
        <v>383</v>
      </c>
      <c r="D35" s="60" t="s">
        <v>129</v>
      </c>
      <c r="G35" s="100">
        <f>'1.1.B. Iesniedzējs'!C24</f>
        <v>0.85</v>
      </c>
    </row>
    <row r="36" spans="1:7" ht="24.75" hidden="1" customHeight="1">
      <c r="A36" s="134">
        <v>3</v>
      </c>
      <c r="B36" s="628" t="s">
        <v>384</v>
      </c>
      <c r="C36" s="629"/>
      <c r="D36" s="54">
        <f>'6. DL finanšu_analīze'!G36</f>
        <v>0</v>
      </c>
      <c r="E36" s="54">
        <f>'6. DL finanšu_analīze'!F36</f>
        <v>0</v>
      </c>
      <c r="F36" s="636" t="s">
        <v>374</v>
      </c>
      <c r="G36" s="636"/>
    </row>
    <row r="37" spans="1:7" ht="12.75" hidden="1" customHeight="1">
      <c r="A37" s="134">
        <v>4</v>
      </c>
      <c r="B37" s="628" t="s">
        <v>375</v>
      </c>
      <c r="C37" s="629"/>
      <c r="D37" s="54">
        <f>IF(('3. DL invest.n.pl.AR pr.'!AJ9+'3. DL invest.n.pl.AR pr.'!AJ16)&gt;0,'6. DL finanšu_analīze'!G26,0)</f>
        <v>0</v>
      </c>
      <c r="E37" s="54">
        <f>IF(('3. DL invest.n.pl.AR pr.'!AJ9+'3. DL invest.n.pl.AR pr.'!AJ16)&gt;0,'6. DL finanšu_analīze'!F26,0)</f>
        <v>0</v>
      </c>
      <c r="F37" s="636" t="s">
        <v>374</v>
      </c>
      <c r="G37" s="636"/>
    </row>
    <row r="38" spans="1:7" ht="12.75" hidden="1" customHeight="1">
      <c r="A38" s="134">
        <v>5</v>
      </c>
      <c r="B38" s="628" t="s">
        <v>376</v>
      </c>
      <c r="C38" s="629"/>
      <c r="D38" s="80"/>
      <c r="E38" s="54">
        <f>'6. DL finanšu_analīze'!F22</f>
        <v>0</v>
      </c>
      <c r="F38" s="636" t="s">
        <v>374</v>
      </c>
      <c r="G38" s="636"/>
    </row>
    <row r="39" spans="1:7" ht="12.75" hidden="1" customHeight="1">
      <c r="A39" s="134">
        <v>6</v>
      </c>
      <c r="B39" s="590" t="s">
        <v>377</v>
      </c>
      <c r="C39" s="592"/>
      <c r="D39" s="80"/>
      <c r="E39" s="54">
        <f>-'6. DL finanšu_analīze'!F23</f>
        <v>-46953.078318372311</v>
      </c>
      <c r="F39" s="636" t="s">
        <v>374</v>
      </c>
      <c r="G39" s="636"/>
    </row>
    <row r="40" spans="1:7" ht="12.75" hidden="1" customHeight="1">
      <c r="A40" s="134">
        <v>7</v>
      </c>
      <c r="B40" s="640" t="s">
        <v>379</v>
      </c>
      <c r="C40" s="641"/>
      <c r="D40" s="80"/>
      <c r="E40" s="515">
        <f>IF(('3. DL invest.n.pl.AR pr.'!AJ9+'3. DL invest.n.pl.AR pr.'!AJ16)&gt;0,'11. DL 4.pielikums'!E37+'11. DL 4.pielikums'!E38-'11. DL 4.pielikums'!E39,0)</f>
        <v>0</v>
      </c>
      <c r="F40" s="636" t="s">
        <v>374</v>
      </c>
      <c r="G40" s="636"/>
    </row>
    <row r="41" spans="1:7" ht="12.75" hidden="1" customHeight="1">
      <c r="A41" s="134">
        <v>8</v>
      </c>
      <c r="B41" s="640" t="s">
        <v>380</v>
      </c>
      <c r="C41" s="641"/>
      <c r="D41" s="80"/>
      <c r="E41" s="54">
        <f>E36-E40</f>
        <v>0</v>
      </c>
      <c r="F41" s="636" t="s">
        <v>374</v>
      </c>
      <c r="G41" s="636"/>
    </row>
    <row r="42" spans="1:7" ht="12.75" hidden="1" customHeight="1">
      <c r="A42" s="134">
        <v>9</v>
      </c>
      <c r="B42" s="640" t="s">
        <v>381</v>
      </c>
      <c r="C42" s="641"/>
      <c r="D42" s="80"/>
      <c r="E42" s="59">
        <f>IF(E36=0,0,IF(E41/E36&gt;100%,100%,E41/E36))</f>
        <v>0</v>
      </c>
      <c r="F42" s="636" t="s">
        <v>374</v>
      </c>
      <c r="G42" s="636"/>
    </row>
    <row r="43" spans="1:7" ht="30.75" hidden="1" customHeight="1">
      <c r="A43" s="134">
        <v>10</v>
      </c>
      <c r="B43" s="640" t="s">
        <v>382</v>
      </c>
      <c r="C43" s="641"/>
      <c r="D43" s="80"/>
      <c r="E43" s="516">
        <f>G35*E42</f>
        <v>0</v>
      </c>
      <c r="F43" s="636" t="s">
        <v>374</v>
      </c>
      <c r="G43" s="636"/>
    </row>
    <row r="44" spans="1:7" hidden="1">
      <c r="A44" s="637" t="s">
        <v>385</v>
      </c>
      <c r="B44" s="638"/>
      <c r="C44" s="638"/>
      <c r="D44" s="638"/>
      <c r="E44" s="638"/>
    </row>
    <row r="45" spans="1:7" hidden="1">
      <c r="A45" s="637" t="s">
        <v>386</v>
      </c>
      <c r="B45" s="638"/>
      <c r="C45" s="638"/>
      <c r="D45" s="638"/>
      <c r="E45" s="638"/>
    </row>
    <row r="46" spans="1:7">
      <c r="A46" s="510"/>
      <c r="B46" s="511"/>
      <c r="C46" s="511"/>
      <c r="D46" s="511"/>
      <c r="E46" s="511"/>
    </row>
    <row r="47" spans="1:7">
      <c r="A47" s="601" t="s">
        <v>387</v>
      </c>
      <c r="B47" s="602"/>
      <c r="C47" s="603"/>
      <c r="D47" s="603"/>
      <c r="E47" s="603"/>
      <c r="F47" s="603"/>
      <c r="G47" s="604"/>
    </row>
    <row r="48" spans="1:7" ht="25.5">
      <c r="A48" s="643"/>
      <c r="B48" s="644"/>
      <c r="C48" s="643" t="s">
        <v>388</v>
      </c>
      <c r="D48" s="644"/>
      <c r="E48" s="643" t="s">
        <v>389</v>
      </c>
      <c r="F48" s="644"/>
      <c r="G48" s="61" t="s">
        <v>371</v>
      </c>
    </row>
    <row r="49" spans="1:7" ht="25.5">
      <c r="A49" s="645"/>
      <c r="B49" s="646"/>
      <c r="C49" s="645" t="s">
        <v>390</v>
      </c>
      <c r="D49" s="646"/>
      <c r="E49" s="645" t="s">
        <v>391</v>
      </c>
      <c r="F49" s="646"/>
      <c r="G49" s="62" t="s">
        <v>372</v>
      </c>
    </row>
    <row r="50" spans="1:7" ht="42.75" customHeight="1">
      <c r="A50" s="647" t="s">
        <v>392</v>
      </c>
      <c r="B50" s="648"/>
      <c r="C50" s="63">
        <f>'6. DL finanšu_analīze'!I31</f>
        <v>-0.16690499807224868</v>
      </c>
      <c r="D50" s="64" t="s">
        <v>393</v>
      </c>
      <c r="E50" s="63">
        <f>'6. DL finanšu_analīze'!I17</f>
        <v>-0.13287831109636949</v>
      </c>
      <c r="F50" s="64" t="s">
        <v>394</v>
      </c>
      <c r="G50" s="65" t="s">
        <v>374</v>
      </c>
    </row>
    <row r="51" spans="1:7" ht="57" customHeight="1">
      <c r="A51" s="647" t="s">
        <v>395</v>
      </c>
      <c r="B51" s="648"/>
      <c r="C51" s="66">
        <f>'6. DL finanšu_analīze'!I30</f>
        <v>-1159810.4535174216</v>
      </c>
      <c r="D51" s="67" t="s">
        <v>396</v>
      </c>
      <c r="E51" s="66">
        <f>'6. DL finanšu_analīze'!I16</f>
        <v>-655498.91505588323</v>
      </c>
      <c r="F51" s="67" t="s">
        <v>397</v>
      </c>
      <c r="G51" s="65" t="s">
        <v>374</v>
      </c>
    </row>
    <row r="52" spans="1:7" ht="40.5" customHeight="1">
      <c r="A52" s="660" t="s">
        <v>398</v>
      </c>
      <c r="B52" s="660"/>
      <c r="C52" s="660"/>
      <c r="D52" s="660"/>
      <c r="E52" s="660"/>
      <c r="F52" s="660"/>
      <c r="G52" s="660"/>
    </row>
    <row r="53" spans="1:7">
      <c r="A53" s="608" t="s">
        <v>399</v>
      </c>
      <c r="B53" s="609"/>
      <c r="C53" s="609"/>
      <c r="D53" s="609"/>
      <c r="E53" s="609"/>
      <c r="F53" s="609"/>
      <c r="G53" s="610"/>
    </row>
    <row r="54" spans="1:7" ht="33" customHeight="1">
      <c r="A54" s="650" t="s">
        <v>400</v>
      </c>
      <c r="B54" s="651"/>
      <c r="C54" s="652"/>
      <c r="D54" s="652"/>
      <c r="E54" s="652"/>
      <c r="F54" s="652"/>
      <c r="G54" s="653"/>
    </row>
    <row r="55" spans="1:7">
      <c r="A55" s="654" t="s">
        <v>401</v>
      </c>
      <c r="B55" s="655"/>
      <c r="C55" s="655"/>
      <c r="D55" s="655"/>
      <c r="E55" s="655"/>
      <c r="F55" s="655"/>
      <c r="G55" s="656"/>
    </row>
    <row r="56" spans="1:7" ht="33.75" customHeight="1">
      <c r="A56" s="657"/>
      <c r="B56" s="658"/>
      <c r="C56" s="658"/>
      <c r="D56" s="658"/>
      <c r="E56" s="658"/>
      <c r="F56" s="658"/>
      <c r="G56" s="659"/>
    </row>
    <row r="57" spans="1:7" ht="71.25" customHeight="1">
      <c r="A57" s="593"/>
      <c r="B57" s="594"/>
      <c r="C57" s="594"/>
      <c r="D57" s="594"/>
      <c r="E57" s="594"/>
      <c r="F57" s="594"/>
      <c r="G57" s="595"/>
    </row>
    <row r="59" spans="1:7">
      <c r="A59" s="622" t="s">
        <v>402</v>
      </c>
      <c r="B59" s="622"/>
      <c r="C59" s="622"/>
      <c r="D59" s="622"/>
      <c r="E59" s="622"/>
      <c r="F59" s="622"/>
      <c r="G59" s="622"/>
    </row>
    <row r="60" spans="1:7">
      <c r="A60" s="649" t="s">
        <v>403</v>
      </c>
      <c r="B60" s="649"/>
      <c r="C60" s="649" t="s">
        <v>404</v>
      </c>
      <c r="D60" s="61" t="s">
        <v>405</v>
      </c>
      <c r="E60" s="649" t="s">
        <v>406</v>
      </c>
      <c r="F60" s="68"/>
      <c r="G60" s="68"/>
    </row>
    <row r="61" spans="1:7">
      <c r="A61" s="649"/>
      <c r="B61" s="649"/>
      <c r="C61" s="649"/>
      <c r="D61" s="69" t="s">
        <v>407</v>
      </c>
      <c r="E61" s="649"/>
      <c r="F61" s="68"/>
      <c r="G61" s="68"/>
    </row>
    <row r="62" spans="1:7" ht="21.75" customHeight="1">
      <c r="A62" s="642" t="str">
        <f>'5.DL soc.econom. analīze'!B9</f>
        <v>Ieguvums ...</v>
      </c>
      <c r="B62" s="642"/>
      <c r="C62" s="135" t="s">
        <v>408</v>
      </c>
      <c r="D62" s="70">
        <f>'5.DL soc.econom. analīze'!D9</f>
        <v>3177627.7808942399</v>
      </c>
      <c r="E62" s="77">
        <f t="shared" ref="E62:E75" si="0">D62/$D$76</f>
        <v>1</v>
      </c>
      <c r="F62" s="68"/>
      <c r="G62" s="68"/>
    </row>
    <row r="63" spans="1:7" ht="21.75" customHeight="1">
      <c r="A63" s="642" t="str">
        <f>'5.DL soc.econom. analīze'!B10</f>
        <v>Ieguvums ...</v>
      </c>
      <c r="B63" s="642"/>
      <c r="C63" s="135" t="s">
        <v>408</v>
      </c>
      <c r="D63" s="70">
        <f>'5.DL soc.econom. analīze'!D10</f>
        <v>0</v>
      </c>
      <c r="E63" s="77">
        <f t="shared" si="0"/>
        <v>0</v>
      </c>
      <c r="F63" s="68"/>
      <c r="G63" s="68"/>
    </row>
    <row r="64" spans="1:7" ht="21.75" customHeight="1">
      <c r="A64" s="642" t="str">
        <f>'5.DL soc.econom. analīze'!B11</f>
        <v>Ieguvums ...</v>
      </c>
      <c r="B64" s="642"/>
      <c r="C64" s="135" t="s">
        <v>408</v>
      </c>
      <c r="D64" s="70">
        <f>'5.DL soc.econom. analīze'!D11</f>
        <v>0</v>
      </c>
      <c r="E64" s="77">
        <f t="shared" si="0"/>
        <v>0</v>
      </c>
      <c r="F64" s="68"/>
      <c r="G64" s="68"/>
    </row>
    <row r="65" spans="1:7" ht="29.25" hidden="1" customHeight="1">
      <c r="A65" s="642" t="str">
        <f>'5.DL soc.econom. analīze'!B12</f>
        <v>Ieguvums ...</v>
      </c>
      <c r="B65" s="642"/>
      <c r="C65" s="135" t="s">
        <v>408</v>
      </c>
      <c r="D65" s="70">
        <f>'5.DL soc.econom. analīze'!D12</f>
        <v>0</v>
      </c>
      <c r="E65" s="77">
        <f t="shared" si="0"/>
        <v>0</v>
      </c>
      <c r="F65" s="68"/>
      <c r="G65" s="68"/>
    </row>
    <row r="66" spans="1:7" ht="29.25" hidden="1" customHeight="1">
      <c r="A66" s="642" t="str">
        <f>'5.DL soc.econom. analīze'!B13</f>
        <v>Ieguvums ...</v>
      </c>
      <c r="B66" s="642"/>
      <c r="C66" s="135" t="s">
        <v>408</v>
      </c>
      <c r="D66" s="70">
        <f>'5.DL soc.econom. analīze'!D13</f>
        <v>0</v>
      </c>
      <c r="E66" s="77">
        <f t="shared" si="0"/>
        <v>0</v>
      </c>
      <c r="F66" s="68"/>
      <c r="G66" s="68"/>
    </row>
    <row r="67" spans="1:7" ht="29.25" hidden="1" customHeight="1">
      <c r="A67" s="642" t="str">
        <f>'5.DL soc.econom. analīze'!B14</f>
        <v>Ieguvums ...</v>
      </c>
      <c r="B67" s="642"/>
      <c r="C67" s="135" t="s">
        <v>408</v>
      </c>
      <c r="D67" s="70">
        <f>'5.DL soc.econom. analīze'!D14</f>
        <v>0</v>
      </c>
      <c r="E67" s="77">
        <f t="shared" si="0"/>
        <v>0</v>
      </c>
      <c r="F67" s="68"/>
      <c r="G67" s="68"/>
    </row>
    <row r="68" spans="1:7" ht="29.25" hidden="1" customHeight="1">
      <c r="A68" s="642" t="str">
        <f>'5.DL soc.econom. analīze'!B15</f>
        <v>Ieguvums ...</v>
      </c>
      <c r="B68" s="642"/>
      <c r="C68" s="135" t="s">
        <v>408</v>
      </c>
      <c r="D68" s="70">
        <f>'5.DL soc.econom. analīze'!D15</f>
        <v>0</v>
      </c>
      <c r="E68" s="77">
        <f t="shared" si="0"/>
        <v>0</v>
      </c>
      <c r="F68" s="68"/>
      <c r="G68" s="68"/>
    </row>
    <row r="69" spans="1:7" ht="29.25" hidden="1" customHeight="1">
      <c r="A69" s="642" t="str">
        <f>'5.DL soc.econom. analīze'!B16</f>
        <v>Ieguvums ...</v>
      </c>
      <c r="B69" s="642"/>
      <c r="C69" s="135" t="s">
        <v>408</v>
      </c>
      <c r="D69" s="70">
        <f>'5.DL soc.econom. analīze'!D16</f>
        <v>0</v>
      </c>
      <c r="E69" s="77">
        <f t="shared" si="0"/>
        <v>0</v>
      </c>
      <c r="F69" s="68"/>
      <c r="G69" s="68"/>
    </row>
    <row r="70" spans="1:7" ht="29.25" hidden="1" customHeight="1">
      <c r="A70" s="642" t="str">
        <f>'5.DL soc.econom. analīze'!B17</f>
        <v>Ieguvums ...</v>
      </c>
      <c r="B70" s="642"/>
      <c r="C70" s="135" t="s">
        <v>408</v>
      </c>
      <c r="D70" s="70">
        <f>'5.DL soc.econom. analīze'!D17</f>
        <v>0</v>
      </c>
      <c r="E70" s="77">
        <f t="shared" si="0"/>
        <v>0</v>
      </c>
      <c r="F70" s="68"/>
      <c r="G70" s="68"/>
    </row>
    <row r="71" spans="1:7" ht="29.25" hidden="1" customHeight="1">
      <c r="A71" s="642" t="str">
        <f>'5.DL soc.econom. analīze'!B19</f>
        <v>Ieguvums ...</v>
      </c>
      <c r="B71" s="642"/>
      <c r="C71" s="135" t="s">
        <v>408</v>
      </c>
      <c r="D71" s="70">
        <f>'5.DL soc.econom. analīze'!D19</f>
        <v>0</v>
      </c>
      <c r="E71" s="77">
        <f t="shared" si="0"/>
        <v>0</v>
      </c>
      <c r="F71" s="68"/>
      <c r="G71" s="68"/>
    </row>
    <row r="72" spans="1:7" ht="29.25" hidden="1" customHeight="1">
      <c r="A72" s="642" t="str">
        <f>'5.DL soc.econom. analīze'!B20</f>
        <v>Ieguvums ...</v>
      </c>
      <c r="B72" s="642"/>
      <c r="C72" s="135" t="s">
        <v>408</v>
      </c>
      <c r="D72" s="70">
        <f>'5.DL soc.econom. analīze'!D20</f>
        <v>0</v>
      </c>
      <c r="E72" s="77">
        <f t="shared" si="0"/>
        <v>0</v>
      </c>
      <c r="F72" s="68"/>
      <c r="G72" s="68"/>
    </row>
    <row r="73" spans="1:7" ht="32.25" hidden="1" customHeight="1">
      <c r="A73" s="642" t="str">
        <f>'5.DL soc.econom. analīze'!B21</f>
        <v>Ieguvums ...</v>
      </c>
      <c r="B73" s="642"/>
      <c r="C73" s="135" t="s">
        <v>408</v>
      </c>
      <c r="D73" s="70">
        <f>'5.DL soc.econom. analīze'!D21</f>
        <v>0</v>
      </c>
      <c r="E73" s="77">
        <f t="shared" si="0"/>
        <v>0</v>
      </c>
      <c r="F73" s="68"/>
      <c r="G73" s="68"/>
    </row>
    <row r="74" spans="1:7" ht="31.5" hidden="1" customHeight="1">
      <c r="A74" s="642" t="str">
        <f>'5.DL soc.econom. analīze'!B22</f>
        <v>Ieguvums ...</v>
      </c>
      <c r="B74" s="642"/>
      <c r="C74" s="135" t="s">
        <v>408</v>
      </c>
      <c r="D74" s="70">
        <f>'5.DL soc.econom. analīze'!D22</f>
        <v>0</v>
      </c>
      <c r="E74" s="77">
        <f t="shared" si="0"/>
        <v>0</v>
      </c>
      <c r="F74" s="68"/>
      <c r="G74" s="68"/>
    </row>
    <row r="75" spans="1:7" ht="38.25" hidden="1" customHeight="1">
      <c r="A75" s="642" t="str">
        <f>'5.DL soc.econom. analīze'!B23</f>
        <v>Ieguvums ...</v>
      </c>
      <c r="B75" s="642"/>
      <c r="C75" s="135" t="s">
        <v>408</v>
      </c>
      <c r="D75" s="70">
        <f>'5.DL soc.econom. analīze'!D23</f>
        <v>0</v>
      </c>
      <c r="E75" s="77">
        <f t="shared" si="0"/>
        <v>0</v>
      </c>
      <c r="F75" s="68"/>
      <c r="G75" s="68"/>
    </row>
    <row r="76" spans="1:7">
      <c r="A76" s="662" t="s">
        <v>190</v>
      </c>
      <c r="B76" s="662"/>
      <c r="C76" s="55"/>
      <c r="D76" s="71">
        <f>SUM(D62:D75)</f>
        <v>3177627.7808942399</v>
      </c>
      <c r="E76" s="78">
        <f>SUM(E62:E75)</f>
        <v>1</v>
      </c>
      <c r="F76" s="68"/>
      <c r="G76" s="68"/>
    </row>
    <row r="77" spans="1:7">
      <c r="A77" s="662" t="s">
        <v>354</v>
      </c>
      <c r="B77" s="662"/>
      <c r="C77" s="662" t="s">
        <v>404</v>
      </c>
      <c r="D77" s="72" t="s">
        <v>405</v>
      </c>
      <c r="E77" s="662" t="s">
        <v>409</v>
      </c>
      <c r="F77" s="68"/>
      <c r="G77" s="68"/>
    </row>
    <row r="78" spans="1:7">
      <c r="A78" s="662"/>
      <c r="B78" s="662"/>
      <c r="C78" s="662"/>
      <c r="D78" s="73" t="s">
        <v>407</v>
      </c>
      <c r="E78" s="662"/>
      <c r="F78" s="68"/>
      <c r="G78" s="68"/>
    </row>
    <row r="79" spans="1:7">
      <c r="A79" s="642" t="str">
        <f>'5.DL soc.econom. analīze'!B25</f>
        <v>Zaudējumi...</v>
      </c>
      <c r="B79" s="642"/>
      <c r="C79" s="135" t="s">
        <v>408</v>
      </c>
      <c r="D79" s="70">
        <f>-'5.DL soc.econom. analīze'!D25</f>
        <v>0</v>
      </c>
      <c r="E79" s="77">
        <f>D79/D$90</f>
        <v>0</v>
      </c>
      <c r="F79" s="68"/>
      <c r="G79" s="68"/>
    </row>
    <row r="80" spans="1:7" ht="12.75" customHeight="1">
      <c r="A80" s="642" t="str">
        <f>'5.DL soc.econom. analīze'!B26</f>
        <v>Zaudējumi...</v>
      </c>
      <c r="B80" s="642"/>
      <c r="C80" s="135" t="s">
        <v>408</v>
      </c>
      <c r="D80" s="70">
        <f>-'5.DL soc.econom. analīze'!D26</f>
        <v>0</v>
      </c>
      <c r="E80" s="77">
        <f t="shared" ref="E80:E89" si="1">D80/D$90</f>
        <v>0</v>
      </c>
      <c r="F80" s="68"/>
      <c r="G80" s="68"/>
    </row>
    <row r="81" spans="1:7" ht="12.75" customHeight="1">
      <c r="A81" s="642" t="str">
        <f>'5.DL soc.econom. analīze'!B27</f>
        <v>Zaudējumi...</v>
      </c>
      <c r="B81" s="642"/>
      <c r="C81" s="135" t="s">
        <v>408</v>
      </c>
      <c r="D81" s="70">
        <f>-'5.DL soc.econom. analīze'!D27</f>
        <v>0</v>
      </c>
      <c r="E81" s="77">
        <f t="shared" si="1"/>
        <v>0</v>
      </c>
      <c r="F81" s="68"/>
      <c r="G81" s="68"/>
    </row>
    <row r="82" spans="1:7" ht="12.75" hidden="1" customHeight="1">
      <c r="A82" s="642" t="str">
        <f>'5.DL soc.econom. analīze'!B28</f>
        <v>Zaudējumi...</v>
      </c>
      <c r="B82" s="642"/>
      <c r="C82" s="135" t="s">
        <v>408</v>
      </c>
      <c r="D82" s="70">
        <f>-'5.DL soc.econom. analīze'!D28</f>
        <v>0</v>
      </c>
      <c r="E82" s="77">
        <f t="shared" si="1"/>
        <v>0</v>
      </c>
      <c r="F82" s="68"/>
      <c r="G82" s="68"/>
    </row>
    <row r="83" spans="1:7" ht="12.75" hidden="1" customHeight="1">
      <c r="A83" s="642" t="str">
        <f>'5.DL soc.econom. analīze'!B29</f>
        <v>Zaudējumi...</v>
      </c>
      <c r="B83" s="642"/>
      <c r="C83" s="135" t="s">
        <v>408</v>
      </c>
      <c r="D83" s="70">
        <f>-'5.DL soc.econom. analīze'!D29</f>
        <v>0</v>
      </c>
      <c r="E83" s="77">
        <f t="shared" si="1"/>
        <v>0</v>
      </c>
      <c r="F83" s="68"/>
      <c r="G83" s="68"/>
    </row>
    <row r="84" spans="1:7" ht="12.75" hidden="1" customHeight="1">
      <c r="A84" s="642" t="str">
        <f>'5.DL soc.econom. analīze'!B30</f>
        <v>Zaudējumi...</v>
      </c>
      <c r="B84" s="642"/>
      <c r="C84" s="135" t="s">
        <v>408</v>
      </c>
      <c r="D84" s="70">
        <f>-'5.DL soc.econom. analīze'!D30</f>
        <v>0</v>
      </c>
      <c r="E84" s="77">
        <f t="shared" si="1"/>
        <v>0</v>
      </c>
      <c r="F84" s="68"/>
      <c r="G84" s="68"/>
    </row>
    <row r="85" spans="1:7" ht="12.75" hidden="1" customHeight="1">
      <c r="A85" s="642" t="str">
        <f>'5.DL soc.econom. analīze'!B31</f>
        <v>Zaudējumi...</v>
      </c>
      <c r="B85" s="642"/>
      <c r="C85" s="135" t="s">
        <v>408</v>
      </c>
      <c r="D85" s="70">
        <f>-'5.DL soc.econom. analīze'!D31</f>
        <v>0</v>
      </c>
      <c r="E85" s="77">
        <f t="shared" si="1"/>
        <v>0</v>
      </c>
      <c r="F85" s="68"/>
      <c r="G85" s="68"/>
    </row>
    <row r="86" spans="1:7" hidden="1">
      <c r="A86" s="642" t="str">
        <f>'5.DL soc.econom. analīze'!B32</f>
        <v>Zaudējumi...</v>
      </c>
      <c r="B86" s="642"/>
      <c r="C86" s="135" t="s">
        <v>408</v>
      </c>
      <c r="D86" s="70">
        <f>-'5.DL soc.econom. analīze'!D32</f>
        <v>0</v>
      </c>
      <c r="E86" s="77">
        <f t="shared" si="1"/>
        <v>0</v>
      </c>
      <c r="F86" s="68"/>
      <c r="G86" s="68"/>
    </row>
    <row r="87" spans="1:7" hidden="1">
      <c r="A87" s="642" t="str">
        <f>'5.DL soc.econom. analīze'!B33</f>
        <v>Zaudējumi...</v>
      </c>
      <c r="B87" s="642"/>
      <c r="C87" s="135" t="s">
        <v>408</v>
      </c>
      <c r="D87" s="70">
        <f>-'5.DL soc.econom. analīze'!D33</f>
        <v>0</v>
      </c>
      <c r="E87" s="77">
        <f t="shared" si="1"/>
        <v>0</v>
      </c>
      <c r="F87" s="68"/>
      <c r="G87" s="505"/>
    </row>
    <row r="88" spans="1:7" ht="12.75" customHeight="1">
      <c r="A88" s="642" t="s">
        <v>410</v>
      </c>
      <c r="B88" s="642"/>
      <c r="C88" s="135" t="s">
        <v>408</v>
      </c>
      <c r="D88" s="70">
        <f>-'5.DL soc.econom. analīze'!D35-'5.DL soc.econom. analīze'!D40-'5.DL soc.econom. analīze'!D41-'5.DL soc.econom. analīze'!D37</f>
        <v>1238529.943532102</v>
      </c>
      <c r="E88" s="77">
        <f t="shared" si="1"/>
        <v>1.0371128894726793</v>
      </c>
      <c r="F88" s="68"/>
      <c r="G88" s="68"/>
    </row>
    <row r="89" spans="1:7">
      <c r="A89" s="642" t="str">
        <f>'5.DL soc.econom. analīze'!B36</f>
        <v>Darbības izmaksas (+/-)</v>
      </c>
      <c r="B89" s="642"/>
      <c r="C89" s="135" t="s">
        <v>408</v>
      </c>
      <c r="D89" s="70">
        <f>-'5.DL soc.econom. analīze'!D36-'5.DL soc.econom. analīze'!D39</f>
        <v>-44320.560827550653</v>
      </c>
      <c r="E89" s="77">
        <f t="shared" si="1"/>
        <v>-3.7112889472679357E-2</v>
      </c>
      <c r="F89" s="68"/>
      <c r="G89" s="68"/>
    </row>
    <row r="90" spans="1:7">
      <c r="A90" s="662" t="s">
        <v>190</v>
      </c>
      <c r="B90" s="662"/>
      <c r="C90" s="55"/>
      <c r="D90" s="74">
        <f>SUM(D79:D89)</f>
        <v>1194209.3827045513</v>
      </c>
      <c r="E90" s="78">
        <v>1</v>
      </c>
      <c r="F90" s="68"/>
      <c r="G90" s="68"/>
    </row>
    <row r="91" spans="1:7">
      <c r="A91" s="75"/>
      <c r="B91" s="68"/>
      <c r="C91" s="68"/>
      <c r="D91" s="68"/>
      <c r="E91" s="68"/>
      <c r="F91" s="68"/>
      <c r="G91" s="68"/>
    </row>
    <row r="92" spans="1:7">
      <c r="A92" s="622" t="s">
        <v>411</v>
      </c>
      <c r="B92" s="622"/>
      <c r="C92" s="622"/>
      <c r="D92" s="622"/>
      <c r="E92" s="622"/>
      <c r="F92" s="622"/>
      <c r="G92" s="622"/>
    </row>
    <row r="93" spans="1:7">
      <c r="A93" s="649" t="s">
        <v>412</v>
      </c>
      <c r="B93" s="649"/>
      <c r="C93" s="136" t="s">
        <v>367</v>
      </c>
      <c r="D93" s="649" t="s">
        <v>371</v>
      </c>
      <c r="E93" s="649"/>
      <c r="F93" s="68"/>
      <c r="G93" s="68"/>
    </row>
    <row r="94" spans="1:7">
      <c r="A94" s="661" t="s">
        <v>413</v>
      </c>
      <c r="B94" s="661"/>
      <c r="C94" s="76">
        <f>'5.DL soc.econom. analīze'!C3</f>
        <v>0.05</v>
      </c>
      <c r="D94" s="642" t="s">
        <v>414</v>
      </c>
      <c r="E94" s="642"/>
      <c r="F94" s="68"/>
      <c r="G94" s="68"/>
    </row>
    <row r="95" spans="1:7">
      <c r="A95" s="661" t="s">
        <v>415</v>
      </c>
      <c r="B95" s="661"/>
      <c r="C95" s="76">
        <f>'5.DL soc.econom. analīze'!D45</f>
        <v>0.21607567052556664</v>
      </c>
      <c r="D95" s="642" t="s">
        <v>414</v>
      </c>
      <c r="E95" s="642"/>
      <c r="F95" s="68"/>
      <c r="G95" s="68"/>
    </row>
    <row r="96" spans="1:7">
      <c r="A96" s="661" t="s">
        <v>416</v>
      </c>
      <c r="B96" s="661"/>
      <c r="C96" s="530">
        <f>'5.DL soc.econom. analīze'!D44</f>
        <v>1983418.3981896893</v>
      </c>
      <c r="D96" s="642" t="s">
        <v>414</v>
      </c>
      <c r="E96" s="642"/>
      <c r="F96" s="68"/>
      <c r="G96" s="68"/>
    </row>
    <row r="97" spans="1:7">
      <c r="A97" s="661" t="s">
        <v>417</v>
      </c>
      <c r="B97" s="661"/>
      <c r="C97" s="531">
        <f>'5.DL soc.econom. analīze'!D46</f>
        <v>2.6608631843921704</v>
      </c>
      <c r="D97" s="642" t="s">
        <v>414</v>
      </c>
      <c r="E97" s="642"/>
      <c r="F97" s="68"/>
      <c r="G97" s="68"/>
    </row>
    <row r="99" spans="1:7" s="81" customFormat="1" ht="15" hidden="1">
      <c r="A99" s="608" t="s">
        <v>418</v>
      </c>
      <c r="B99" s="609"/>
      <c r="C99" s="609"/>
      <c r="D99" s="609"/>
      <c r="E99" s="609"/>
      <c r="F99" s="609"/>
      <c r="G99" s="610"/>
    </row>
    <row r="100" spans="1:7" hidden="1"/>
    <row r="101" spans="1:7" s="81" customFormat="1" ht="15" hidden="1">
      <c r="A101" s="93" t="s">
        <v>419</v>
      </c>
      <c r="B101" s="94"/>
      <c r="C101" s="90"/>
      <c r="D101" s="90"/>
      <c r="E101" s="90"/>
      <c r="F101" s="90"/>
      <c r="G101" s="91"/>
    </row>
    <row r="102" spans="1:7" s="81" customFormat="1" ht="26.25" hidden="1" customHeight="1">
      <c r="A102" s="138" t="s">
        <v>420</v>
      </c>
      <c r="B102" s="138" t="s">
        <v>421</v>
      </c>
      <c r="C102" s="611" t="s">
        <v>422</v>
      </c>
      <c r="D102" s="612"/>
      <c r="E102" s="612"/>
      <c r="F102" s="612"/>
      <c r="G102" s="613"/>
    </row>
    <row r="103" spans="1:7" s="81" customFormat="1" ht="15" hidden="1">
      <c r="A103" s="475"/>
      <c r="B103" s="476"/>
      <c r="C103" s="598"/>
      <c r="D103" s="599"/>
      <c r="E103" s="599"/>
      <c r="F103" s="599"/>
      <c r="G103" s="600"/>
    </row>
    <row r="104" spans="1:7" s="81" customFormat="1" ht="15" hidden="1">
      <c r="A104" s="475"/>
      <c r="B104" s="476"/>
      <c r="C104" s="598"/>
      <c r="D104" s="599"/>
      <c r="E104" s="599"/>
      <c r="F104" s="599"/>
      <c r="G104" s="600"/>
    </row>
    <row r="105" spans="1:7" s="81" customFormat="1" ht="15" hidden="1">
      <c r="A105" s="475"/>
      <c r="B105" s="476"/>
      <c r="C105" s="598"/>
      <c r="D105" s="599"/>
      <c r="E105" s="599"/>
      <c r="F105" s="599"/>
      <c r="G105" s="600"/>
    </row>
    <row r="106" spans="1:7" s="81" customFormat="1" ht="15" hidden="1">
      <c r="A106" s="475"/>
      <c r="B106" s="476"/>
      <c r="C106" s="598"/>
      <c r="D106" s="599"/>
      <c r="E106" s="599"/>
      <c r="F106" s="599"/>
      <c r="G106" s="600"/>
    </row>
    <row r="107" spans="1:7" s="81" customFormat="1" ht="15" hidden="1">
      <c r="A107" s="475"/>
      <c r="B107" s="476"/>
      <c r="C107" s="598"/>
      <c r="D107" s="599"/>
      <c r="E107" s="599"/>
      <c r="F107" s="599"/>
      <c r="G107" s="600"/>
    </row>
    <row r="108" spans="1:7" s="81" customFormat="1" ht="15" hidden="1">
      <c r="A108" s="475"/>
      <c r="B108" s="476"/>
      <c r="C108" s="598"/>
      <c r="D108" s="599"/>
      <c r="E108" s="599"/>
      <c r="F108" s="599"/>
      <c r="G108" s="600"/>
    </row>
    <row r="109" spans="1:7" s="81" customFormat="1" ht="15" hidden="1">
      <c r="A109" s="475"/>
      <c r="B109" s="476"/>
      <c r="C109" s="598"/>
      <c r="D109" s="599"/>
      <c r="E109" s="599"/>
      <c r="F109" s="599"/>
      <c r="G109" s="600"/>
    </row>
    <row r="110" spans="1:7" s="81" customFormat="1" ht="15" hidden="1">
      <c r="A110" s="475"/>
      <c r="B110" s="476"/>
      <c r="C110" s="598"/>
      <c r="D110" s="599"/>
      <c r="E110" s="599"/>
      <c r="F110" s="599"/>
      <c r="G110" s="600"/>
    </row>
    <row r="111" spans="1:7" s="81" customFormat="1" ht="15" hidden="1">
      <c r="A111" s="86"/>
      <c r="B111" s="86"/>
      <c r="C111" s="86"/>
      <c r="D111" s="86"/>
      <c r="E111" s="86"/>
      <c r="F111" s="86"/>
      <c r="G111" s="86"/>
    </row>
    <row r="112" spans="1:7" s="81" customFormat="1" ht="15" hidden="1">
      <c r="A112" s="601" t="s">
        <v>423</v>
      </c>
      <c r="B112" s="602"/>
      <c r="C112" s="603"/>
      <c r="D112" s="603"/>
      <c r="E112" s="603"/>
      <c r="F112" s="603"/>
      <c r="G112" s="604"/>
    </row>
    <row r="113" spans="1:10" s="81" customFormat="1" ht="15" hidden="1">
      <c r="A113" s="87" t="s">
        <v>424</v>
      </c>
      <c r="B113" s="87"/>
      <c r="C113" s="4"/>
      <c r="D113" s="4"/>
      <c r="E113" s="4"/>
      <c r="F113" s="4"/>
      <c r="G113" s="4"/>
    </row>
    <row r="114" spans="1:10" s="81" customFormat="1" ht="15" hidden="1">
      <c r="A114" s="88" t="s">
        <v>425</v>
      </c>
      <c r="B114" s="89"/>
      <c r="C114" s="90"/>
      <c r="D114" s="90"/>
      <c r="E114" s="90"/>
      <c r="F114" s="90"/>
      <c r="G114" s="91"/>
    </row>
    <row r="115" spans="1:10" s="81" customFormat="1" ht="27.75" hidden="1" customHeight="1">
      <c r="A115" s="596" t="s">
        <v>426</v>
      </c>
      <c r="B115" s="605" t="s">
        <v>427</v>
      </c>
      <c r="C115" s="606"/>
      <c r="D115" s="607" t="s">
        <v>428</v>
      </c>
      <c r="E115" s="607"/>
      <c r="F115" s="607" t="s">
        <v>429</v>
      </c>
      <c r="G115" s="607"/>
    </row>
    <row r="116" spans="1:10" s="81" customFormat="1" ht="25.5" hidden="1" customHeight="1">
      <c r="A116" s="597"/>
      <c r="B116" s="65" t="s">
        <v>133</v>
      </c>
      <c r="C116" s="65" t="s">
        <v>134</v>
      </c>
      <c r="D116" s="65" t="s">
        <v>133</v>
      </c>
      <c r="E116" s="65" t="s">
        <v>134</v>
      </c>
      <c r="F116" s="65" t="s">
        <v>133</v>
      </c>
      <c r="G116" s="65" t="s">
        <v>134</v>
      </c>
      <c r="I116" s="83"/>
      <c r="J116" s="83"/>
    </row>
    <row r="117" spans="1:10" s="81" customFormat="1" ht="25.5" hidden="1">
      <c r="A117" s="477" t="s">
        <v>430</v>
      </c>
      <c r="B117" s="478"/>
      <c r="C117" s="183"/>
      <c r="D117" s="479"/>
      <c r="E117" s="480"/>
      <c r="F117" s="479"/>
      <c r="G117" s="480"/>
      <c r="H117" s="84"/>
      <c r="I117" s="83"/>
    </row>
    <row r="118" spans="1:10" s="81" customFormat="1" ht="15" hidden="1">
      <c r="A118" s="481"/>
      <c r="B118" s="478"/>
      <c r="C118" s="183"/>
      <c r="D118" s="479"/>
      <c r="E118" s="480"/>
      <c r="F118" s="479"/>
      <c r="G118" s="480"/>
      <c r="H118" s="84"/>
    </row>
    <row r="119" spans="1:10" s="81" customFormat="1" ht="15" hidden="1">
      <c r="A119" s="481"/>
      <c r="B119" s="478"/>
      <c r="C119" s="183"/>
      <c r="D119" s="479"/>
      <c r="E119" s="480"/>
      <c r="F119" s="479"/>
      <c r="G119" s="480"/>
      <c r="H119" s="84"/>
    </row>
    <row r="120" spans="1:10" s="81" customFormat="1" ht="15" hidden="1">
      <c r="A120" s="481"/>
      <c r="B120" s="478"/>
      <c r="C120" s="183"/>
      <c r="D120" s="479"/>
      <c r="E120" s="480"/>
      <c r="F120" s="479"/>
      <c r="G120" s="480"/>
      <c r="H120" s="84"/>
    </row>
    <row r="121" spans="1:10" s="81" customFormat="1" ht="15" hidden="1">
      <c r="A121" s="481"/>
      <c r="B121" s="478"/>
      <c r="C121" s="183"/>
      <c r="D121" s="479"/>
      <c r="E121" s="480"/>
      <c r="F121" s="479"/>
      <c r="G121" s="480"/>
      <c r="H121" s="84"/>
    </row>
    <row r="122" spans="1:10" s="81" customFormat="1" ht="15" hidden="1">
      <c r="A122" s="481"/>
      <c r="B122" s="478"/>
      <c r="C122" s="183"/>
      <c r="D122" s="479"/>
      <c r="E122" s="480"/>
      <c r="F122" s="479"/>
      <c r="G122" s="480"/>
      <c r="H122" s="84"/>
    </row>
    <row r="123" spans="1:10" s="81" customFormat="1" ht="15" hidden="1">
      <c r="A123" s="481"/>
      <c r="B123" s="478"/>
      <c r="C123" s="183"/>
      <c r="D123" s="479"/>
      <c r="E123" s="480"/>
      <c r="F123" s="479"/>
      <c r="G123" s="480"/>
      <c r="H123" s="84"/>
    </row>
    <row r="124" spans="1:10" s="81" customFormat="1" ht="15" hidden="1">
      <c r="A124" s="481"/>
      <c r="B124" s="478"/>
      <c r="C124" s="183"/>
      <c r="D124" s="479"/>
      <c r="E124" s="480"/>
      <c r="F124" s="479"/>
      <c r="G124" s="480"/>
      <c r="H124" s="84"/>
    </row>
    <row r="125" spans="1:10" s="81" customFormat="1" ht="15" hidden="1">
      <c r="A125" s="481"/>
      <c r="B125" s="478"/>
      <c r="C125" s="183"/>
      <c r="D125" s="479"/>
      <c r="E125" s="480"/>
      <c r="F125" s="479"/>
      <c r="G125" s="480"/>
      <c r="H125" s="84"/>
    </row>
    <row r="126" spans="1:10" s="81" customFormat="1" ht="15" hidden="1">
      <c r="A126" s="92"/>
      <c r="B126" s="92"/>
      <c r="C126" s="92"/>
      <c r="D126" s="92"/>
      <c r="E126" s="92"/>
      <c r="F126" s="92"/>
      <c r="G126" s="92"/>
      <c r="I126" s="83"/>
    </row>
    <row r="127" spans="1:10" s="85" customFormat="1" ht="30" hidden="1" customHeight="1">
      <c r="A127" s="590" t="s">
        <v>431</v>
      </c>
      <c r="B127" s="591"/>
      <c r="C127" s="591"/>
      <c r="D127" s="591"/>
      <c r="E127" s="591"/>
      <c r="F127" s="591"/>
      <c r="G127" s="592"/>
      <c r="I127" s="83"/>
      <c r="J127" s="81"/>
    </row>
    <row r="128" spans="1:10" ht="66" hidden="1" customHeight="1">
      <c r="A128" s="593"/>
      <c r="B128" s="594"/>
      <c r="C128" s="594"/>
      <c r="D128" s="594"/>
      <c r="E128" s="594"/>
      <c r="F128" s="594"/>
      <c r="G128" s="595"/>
    </row>
  </sheetData>
  <sheetProtection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7" sqref="B3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71" t="s">
        <v>432</v>
      </c>
      <c r="B1" s="571"/>
      <c r="C1" s="571"/>
      <c r="D1" s="571"/>
      <c r="E1" s="571"/>
    </row>
    <row r="3" spans="1:29" s="119" customFormat="1" hidden="1">
      <c r="A3" s="506">
        <v>1</v>
      </c>
      <c r="B3" s="16" t="s">
        <v>433</v>
      </c>
      <c r="C3" s="16"/>
      <c r="D3" s="118" t="s">
        <v>434</v>
      </c>
      <c r="E3" s="4"/>
      <c r="F3" s="4"/>
      <c r="G3" s="4"/>
      <c r="H3" s="4"/>
      <c r="I3" s="4"/>
      <c r="J3" s="4"/>
      <c r="K3" s="4"/>
      <c r="L3" s="4"/>
      <c r="M3" s="4"/>
      <c r="N3" s="4"/>
      <c r="O3" s="4"/>
      <c r="P3" s="4"/>
      <c r="Q3" s="4"/>
      <c r="R3" s="4"/>
      <c r="S3" s="4"/>
      <c r="T3" s="4"/>
      <c r="U3" s="4"/>
      <c r="V3" s="4"/>
      <c r="W3" s="4"/>
      <c r="X3" s="4"/>
      <c r="Y3" s="4"/>
      <c r="Z3" s="4"/>
      <c r="AA3" s="4"/>
      <c r="AB3" s="4"/>
      <c r="AC3" s="4"/>
    </row>
    <row r="4" spans="1:29" hidden="1">
      <c r="A4" s="121" t="s">
        <v>98</v>
      </c>
      <c r="B4" s="663" t="s">
        <v>435</v>
      </c>
      <c r="C4" s="664"/>
      <c r="D4" s="128" t="str">
        <f>IF(AND('3. DL invest.n.pl.AR pr.'!AJ9=0,'3. DL invest.n.pl.AR pr.'!AJ16=0),"-",IF('11. DL 4.pielikums'!E30&lt;=0,"IZPILDĪTS KRITĒRIJS",IF('3. DL invest.n.pl.AR pr.'!AJ9=0,"IZPILDĪTS KRITĒRIJS","NAV IZPILDĪTS KRITĒRIJS")))</f>
        <v>IZPILDĪTS KRITĒRIJS</v>
      </c>
    </row>
    <row r="5" spans="1:29" s="120" customFormat="1" hidden="1">
      <c r="A5" s="121" t="s">
        <v>100</v>
      </c>
      <c r="B5" s="663" t="s">
        <v>436</v>
      </c>
      <c r="C5" s="664"/>
      <c r="D5" s="128" t="str">
        <f>IF('11. DL 4.pielikums'!E20=0,"-",IF('11. DL 4.pielikums'!C51&lt;0,"IZPILDĪTS KRITĒRIJS","NAV IZPILDĪTS KRITĒRIJS"))</f>
        <v>IZPILDĪTS KRITĒRIJS</v>
      </c>
      <c r="E5" s="4"/>
      <c r="F5" s="4"/>
      <c r="G5" s="4"/>
      <c r="H5" s="4"/>
      <c r="I5" s="4"/>
      <c r="J5" s="4"/>
      <c r="K5" s="4"/>
      <c r="L5" s="4"/>
    </row>
    <row r="6" spans="1:29" hidden="1">
      <c r="A6" s="3"/>
      <c r="B6" s="3"/>
      <c r="C6" s="3"/>
      <c r="D6" s="3"/>
    </row>
    <row r="7" spans="1:29" s="119" customFormat="1" hidden="1">
      <c r="A7" s="15">
        <v>2</v>
      </c>
      <c r="B7" s="16" t="s">
        <v>437</v>
      </c>
      <c r="C7" s="16"/>
      <c r="D7" s="116" t="s">
        <v>438</v>
      </c>
      <c r="E7" s="4"/>
      <c r="F7" s="4"/>
      <c r="G7" s="4"/>
      <c r="H7" s="4"/>
      <c r="I7" s="4"/>
      <c r="J7" s="4"/>
      <c r="K7" s="4"/>
      <c r="L7" s="4"/>
      <c r="M7" s="4"/>
      <c r="N7" s="4"/>
      <c r="O7" s="4"/>
      <c r="P7" s="4"/>
      <c r="Q7" s="4"/>
      <c r="R7" s="4"/>
      <c r="S7" s="4"/>
      <c r="T7" s="4"/>
      <c r="U7" s="4"/>
      <c r="V7" s="4"/>
      <c r="W7" s="4"/>
      <c r="X7" s="4"/>
      <c r="Y7" s="4"/>
      <c r="Z7" s="4"/>
      <c r="AA7" s="4"/>
      <c r="AB7" s="4"/>
      <c r="AC7" s="4"/>
    </row>
    <row r="8" spans="1:29" hidden="1">
      <c r="A8" s="121"/>
      <c r="B8" s="121"/>
      <c r="C8" s="121"/>
      <c r="D8" s="122"/>
    </row>
    <row r="9" spans="1:29" hidden="1">
      <c r="A9" s="121"/>
      <c r="B9" s="121"/>
      <c r="C9" s="121"/>
      <c r="D9" s="122"/>
    </row>
    <row r="10" spans="1:29" hidden="1">
      <c r="A10" s="124"/>
      <c r="B10" s="125"/>
      <c r="C10" s="124"/>
      <c r="D10" s="126"/>
    </row>
    <row r="11" spans="1:29" hidden="1">
      <c r="A11" s="124"/>
      <c r="B11" s="125"/>
      <c r="C11" s="124"/>
      <c r="D11" s="126"/>
    </row>
    <row r="12" spans="1:29" hidden="1">
      <c r="A12" s="15">
        <v>3</v>
      </c>
      <c r="B12" s="16" t="s">
        <v>439</v>
      </c>
      <c r="C12" s="16"/>
      <c r="D12" s="116" t="s">
        <v>440</v>
      </c>
      <c r="G12" s="127"/>
      <c r="I12" s="127"/>
    </row>
    <row r="13" spans="1:29" hidden="1">
      <c r="A13" s="121"/>
      <c r="B13" s="663"/>
      <c r="C13" s="664"/>
      <c r="D13" s="128"/>
      <c r="E13" s="129"/>
    </row>
    <row r="14" spans="1:29" hidden="1">
      <c r="A14" s="121"/>
      <c r="B14" s="663"/>
      <c r="C14" s="664"/>
      <c r="D14" s="128"/>
      <c r="E14" s="87"/>
    </row>
    <row r="15" spans="1:29" hidden="1">
      <c r="B15" s="123"/>
      <c r="D15" s="87"/>
    </row>
    <row r="16" spans="1:29">
      <c r="A16" s="15">
        <v>4</v>
      </c>
      <c r="B16" s="16" t="s">
        <v>441</v>
      </c>
      <c r="C16" s="16"/>
      <c r="D16" s="131" t="s">
        <v>438</v>
      </c>
    </row>
    <row r="17" spans="1:4">
      <c r="A17" s="121" t="s">
        <v>222</v>
      </c>
      <c r="B17" s="663" t="s">
        <v>442</v>
      </c>
      <c r="C17" s="664"/>
      <c r="D17" s="130" t="str">
        <f>IF('3. DL invest.n.pl.AR pr.'!AJ23=0,"-",IF('11. DL 4.pielikums'!C96&gt;=0,"IZPILDĪTS KRITĒRIJS","NAV IZPILDĪTS KRITĒRIJS"))</f>
        <v>IZPILDĪTS KRITĒRIJS</v>
      </c>
    </row>
    <row r="18" spans="1:4">
      <c r="A18" s="121" t="s">
        <v>260</v>
      </c>
      <c r="B18" s="663" t="s">
        <v>443</v>
      </c>
      <c r="C18" s="664"/>
      <c r="D18" s="130" t="str">
        <f>IF('3. DL invest.n.pl.AR pr.'!AJ23=0,"-",IF('11. DL 4.pielikums'!C95&gt;'11. DL 4.pielikums'!C94,"IZPILDĪTS KRITĒRIJS","NAV IZPILDĪTS KRITĒRIJS"))</f>
        <v>IZPILDĪTS KRITĒRIJS</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1"/>
  <sheetViews>
    <sheetView zoomScale="90" zoomScaleNormal="90" workbookViewId="0">
      <selection activeCell="D85" sqref="D85"/>
    </sheetView>
  </sheetViews>
  <sheetFormatPr defaultRowHeight="15"/>
  <cols>
    <col min="1" max="1" width="12.5703125" customWidth="1"/>
    <col min="4" max="6" width="13.28515625" customWidth="1"/>
    <col min="7" max="7" width="14.7109375" customWidth="1"/>
    <col min="8" max="11" width="13.28515625" customWidth="1"/>
    <col min="12" max="54" width="12" customWidth="1"/>
  </cols>
  <sheetData>
    <row r="1" spans="1:11" ht="26.25">
      <c r="A1" s="499" t="s">
        <v>444</v>
      </c>
    </row>
    <row r="2" spans="1:11" ht="12.75" customHeight="1"/>
    <row r="3" spans="1:11">
      <c r="A3" s="500" t="s">
        <v>445</v>
      </c>
    </row>
    <row r="5" spans="1:11" ht="21">
      <c r="A5" s="102" t="s">
        <v>446</v>
      </c>
      <c r="B5" s="102"/>
    </row>
    <row r="6" spans="1:11">
      <c r="A6" s="667" t="s">
        <v>447</v>
      </c>
      <c r="B6" s="667"/>
      <c r="C6" s="667"/>
      <c r="D6" s="667"/>
      <c r="E6" s="667"/>
      <c r="F6" s="667"/>
      <c r="G6" s="667"/>
      <c r="H6" s="667"/>
      <c r="I6" s="667"/>
    </row>
    <row r="7" spans="1:11">
      <c r="A7" s="667"/>
      <c r="B7" s="667"/>
      <c r="C7" s="667"/>
      <c r="D7" s="667"/>
      <c r="E7" s="667"/>
      <c r="F7" s="667"/>
      <c r="G7" s="667"/>
      <c r="H7" s="667"/>
      <c r="I7" s="667"/>
    </row>
    <row r="8" spans="1:11">
      <c r="A8" s="667"/>
      <c r="B8" s="667"/>
      <c r="C8" s="667"/>
      <c r="D8" s="667"/>
      <c r="E8" s="667"/>
      <c r="F8" s="667"/>
      <c r="G8" s="667"/>
      <c r="H8" s="667"/>
      <c r="I8" s="667"/>
    </row>
    <row r="9" spans="1:11">
      <c r="A9" t="s">
        <v>448</v>
      </c>
      <c r="D9" s="107"/>
      <c r="E9" s="107"/>
      <c r="F9" s="107"/>
      <c r="G9" s="107"/>
      <c r="H9" s="107"/>
      <c r="I9" s="107"/>
    </row>
    <row r="10" spans="1:11">
      <c r="A10" t="s">
        <v>449</v>
      </c>
      <c r="D10" s="105">
        <v>1200000</v>
      </c>
      <c r="E10" t="s">
        <v>450</v>
      </c>
    </row>
    <row r="11" spans="1:11">
      <c r="A11" t="s">
        <v>451</v>
      </c>
      <c r="D11" s="105">
        <v>15</v>
      </c>
      <c r="E11" t="s">
        <v>452</v>
      </c>
    </row>
    <row r="12" spans="1:11">
      <c r="A12" t="s">
        <v>453</v>
      </c>
      <c r="D12" s="104">
        <f>100/D11</f>
        <v>6.666666666666667</v>
      </c>
      <c r="E12" t="s">
        <v>134</v>
      </c>
    </row>
    <row r="13" spans="1:11">
      <c r="A13" t="s">
        <v>454</v>
      </c>
      <c r="D13" s="103">
        <f>D10*D12/100</f>
        <v>80000</v>
      </c>
      <c r="E13" t="s">
        <v>450</v>
      </c>
    </row>
    <row r="14" spans="1:11">
      <c r="A14" t="s">
        <v>455</v>
      </c>
      <c r="D14" s="105">
        <v>15</v>
      </c>
      <c r="E14" t="s">
        <v>452</v>
      </c>
      <c r="K14" s="496"/>
    </row>
    <row r="15" spans="1:11">
      <c r="A15" t="s">
        <v>456</v>
      </c>
      <c r="D15" s="105">
        <v>1</v>
      </c>
      <c r="E15" t="s">
        <v>452</v>
      </c>
    </row>
    <row r="16" spans="1:11">
      <c r="A16" t="s">
        <v>457</v>
      </c>
      <c r="D16" s="103">
        <f>D13*(D14-D15)</f>
        <v>1120000</v>
      </c>
      <c r="E16" t="s">
        <v>450</v>
      </c>
    </row>
    <row r="17" spans="1:34">
      <c r="A17" s="47" t="s">
        <v>458</v>
      </c>
      <c r="B17" s="47"/>
      <c r="C17" s="47"/>
      <c r="D17" s="106">
        <f>D10-D16</f>
        <v>80000</v>
      </c>
      <c r="E17" s="47" t="s">
        <v>450</v>
      </c>
    </row>
    <row r="19" spans="1:34" hidden="1">
      <c r="A19" s="667" t="s">
        <v>459</v>
      </c>
      <c r="B19" s="667"/>
      <c r="C19" s="667"/>
      <c r="D19" s="667"/>
      <c r="E19" s="667"/>
      <c r="F19" s="667"/>
      <c r="G19" s="667"/>
      <c r="H19" s="667"/>
      <c r="I19" s="667"/>
      <c r="K19" s="496"/>
    </row>
    <row r="20" spans="1:34" hidden="1">
      <c r="A20" s="667"/>
      <c r="B20" s="667"/>
      <c r="C20" s="667"/>
      <c r="D20" s="667"/>
      <c r="E20" s="667"/>
      <c r="F20" s="667"/>
      <c r="G20" s="667"/>
      <c r="H20" s="667"/>
      <c r="I20" s="667"/>
    </row>
    <row r="21" spans="1:34" hidden="1">
      <c r="A21" s="667"/>
      <c r="B21" s="667"/>
      <c r="C21" s="667"/>
      <c r="D21" s="667"/>
      <c r="E21" s="667"/>
      <c r="F21" s="667"/>
      <c r="G21" s="667"/>
      <c r="H21" s="667"/>
      <c r="I21" s="667"/>
    </row>
    <row r="22" spans="1:34" hidden="1">
      <c r="A22" s="667"/>
      <c r="B22" s="667"/>
      <c r="C22" s="667"/>
      <c r="D22" s="667"/>
      <c r="E22" s="667"/>
      <c r="F22" s="667"/>
      <c r="G22" s="667"/>
      <c r="H22" s="667"/>
      <c r="I22" s="667"/>
    </row>
    <row r="23" spans="1:34" hidden="1">
      <c r="A23" s="667"/>
      <c r="B23" s="667"/>
      <c r="C23" s="667"/>
      <c r="D23" s="667"/>
      <c r="E23" s="667"/>
      <c r="F23" s="667"/>
      <c r="G23" s="667"/>
      <c r="H23" s="667"/>
      <c r="I23" s="667"/>
    </row>
    <row r="24" spans="1:34" ht="15.95" hidden="1" customHeight="1">
      <c r="A24" t="s">
        <v>448</v>
      </c>
      <c r="C24" s="497"/>
      <c r="D24" s="107"/>
      <c r="E24" s="107"/>
      <c r="F24" s="107"/>
      <c r="G24" s="107"/>
      <c r="H24" s="107"/>
      <c r="I24" s="107"/>
    </row>
    <row r="25" spans="1:34" hidden="1">
      <c r="A25" t="s">
        <v>451</v>
      </c>
      <c r="D25" s="105">
        <v>15</v>
      </c>
      <c r="E25" t="s">
        <v>452</v>
      </c>
    </row>
    <row r="26" spans="1:34" hidden="1">
      <c r="A26" t="s">
        <v>455</v>
      </c>
      <c r="D26" s="105">
        <v>15</v>
      </c>
      <c r="E26" t="s">
        <v>452</v>
      </c>
    </row>
    <row r="27" spans="1:34" hidden="1">
      <c r="A27" t="s">
        <v>189</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c r="A28" t="s">
        <v>460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461</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idden="1">
      <c r="A30" s="47" t="s">
        <v>458</v>
      </c>
      <c r="D30" s="498">
        <f>NPV(4%,E29:AH29)</f>
        <v>0</v>
      </c>
      <c r="E30" s="47" t="s">
        <v>450</v>
      </c>
    </row>
    <row r="32" spans="1:34" ht="21" hidden="1">
      <c r="A32" s="102" t="s">
        <v>462</v>
      </c>
    </row>
    <row r="33" spans="1:54" hidden="1">
      <c r="A33" t="s">
        <v>463</v>
      </c>
      <c r="D33" s="108">
        <f>'4.DL Finansiālā ilgtspēja'!AI9</f>
        <v>0</v>
      </c>
      <c r="E33" t="s">
        <v>450</v>
      </c>
    </row>
    <row r="34" spans="1:54" hidden="1">
      <c r="A34" t="s">
        <v>464</v>
      </c>
      <c r="D34" s="108">
        <f>'4.DL Finansiālā ilgtspēja'!$E$9</f>
        <v>0</v>
      </c>
      <c r="E34" s="108">
        <f>'4.DL Finansiālā ilgtspēja'!$F$9</f>
        <v>0</v>
      </c>
      <c r="F34" s="108">
        <f>'4.DL Finansiālā ilgtspēja'!$G$9</f>
        <v>0</v>
      </c>
      <c r="G34" s="108">
        <f>'4.DL Finansiālā ilgtspēja'!$H$9</f>
        <v>0</v>
      </c>
    </row>
    <row r="35" spans="1:54" hidden="1">
      <c r="A35" t="s">
        <v>465</v>
      </c>
      <c r="D35" s="107">
        <v>10</v>
      </c>
      <c r="E35" t="s">
        <v>452</v>
      </c>
    </row>
    <row r="36" spans="1:54" hidden="1">
      <c r="A36" t="s">
        <v>466</v>
      </c>
      <c r="D36" s="109">
        <v>3.5000000000000003E-2</v>
      </c>
      <c r="F36" s="110" t="s">
        <v>467</v>
      </c>
    </row>
    <row r="37" spans="1:54" hidden="1"/>
    <row r="38" spans="1:54" hidden="1">
      <c r="A38" t="s">
        <v>468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c r="A39" t="s">
        <v>469</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hidden="1">
      <c r="A40" t="s">
        <v>470</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hidden="1">
      <c r="A41" t="s">
        <v>471</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hidden="1">
      <c r="A42" t="s">
        <v>472</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hidden="1"/>
    <row r="44" spans="1:54" hidden="1">
      <c r="A44" t="s">
        <v>463</v>
      </c>
      <c r="D44" s="108"/>
      <c r="E44" t="s">
        <v>450</v>
      </c>
    </row>
    <row r="45" spans="1:54" hidden="1">
      <c r="A45" t="s">
        <v>464</v>
      </c>
      <c r="D45" s="108"/>
      <c r="E45" s="108"/>
      <c r="F45" s="108"/>
      <c r="G45" s="108"/>
    </row>
    <row r="46" spans="1:54" hidden="1">
      <c r="A46" t="s">
        <v>465</v>
      </c>
      <c r="D46" s="107">
        <v>10</v>
      </c>
      <c r="E46" t="s">
        <v>452</v>
      </c>
    </row>
    <row r="47" spans="1:54" hidden="1">
      <c r="A47" t="s">
        <v>466</v>
      </c>
      <c r="D47" s="109">
        <v>3.5000000000000003E-2</v>
      </c>
      <c r="F47" s="110" t="s">
        <v>467</v>
      </c>
    </row>
    <row r="48" spans="1:54" hidden="1"/>
    <row r="49" spans="1:54" hidden="1">
      <c r="A49" t="s">
        <v>468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c r="A50" t="s">
        <v>469</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hidden="1">
      <c r="A51" t="s">
        <v>470</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hidden="1">
      <c r="A52" t="s">
        <v>471</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hidden="1">
      <c r="A53" t="s">
        <v>472</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hidden="1"/>
    <row r="55" spans="1:54" hidden="1">
      <c r="A55" t="s">
        <v>470</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hidden="1">
      <c r="A56" t="s">
        <v>471</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hidden="1">
      <c r="A57" t="s">
        <v>472</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61" spans="1:54" ht="21">
      <c r="A61" s="102" t="s">
        <v>473</v>
      </c>
    </row>
    <row r="62" spans="1:54" ht="30">
      <c r="A62" s="669" t="s">
        <v>474</v>
      </c>
      <c r="B62" s="669"/>
      <c r="C62" s="669"/>
      <c r="D62" s="669"/>
      <c r="E62" s="669"/>
      <c r="F62" s="519" t="s">
        <v>475</v>
      </c>
      <c r="G62" s="519" t="s">
        <v>190</v>
      </c>
      <c r="H62" s="520"/>
      <c r="I62" s="521"/>
      <c r="J62" s="521"/>
      <c r="K62" s="521"/>
      <c r="L62" s="521"/>
      <c r="M62" s="521"/>
      <c r="N62" s="521"/>
      <c r="O62" s="521"/>
      <c r="P62" s="521"/>
      <c r="Q62" s="521"/>
      <c r="R62" s="521"/>
      <c r="S62" s="521"/>
      <c r="T62" s="521"/>
      <c r="U62" s="521"/>
      <c r="V62" s="522"/>
    </row>
    <row r="63" spans="1:54" ht="15" customHeight="1">
      <c r="A63" s="668" t="s">
        <v>476</v>
      </c>
      <c r="B63" s="668"/>
      <c r="C63" s="668"/>
      <c r="D63" s="668"/>
      <c r="E63" s="668"/>
      <c r="F63" s="528" t="s">
        <v>477</v>
      </c>
      <c r="G63" s="535" t="s">
        <v>477</v>
      </c>
      <c r="H63" s="523">
        <v>1</v>
      </c>
      <c r="I63" s="523">
        <v>2</v>
      </c>
      <c r="J63" s="523">
        <v>3</v>
      </c>
      <c r="K63" s="523">
        <v>4</v>
      </c>
      <c r="L63" s="523">
        <v>5</v>
      </c>
      <c r="M63" s="523">
        <v>6</v>
      </c>
      <c r="N63" s="523">
        <v>7</v>
      </c>
      <c r="O63" s="523">
        <v>8</v>
      </c>
      <c r="P63" s="523">
        <v>9</v>
      </c>
      <c r="Q63" s="523">
        <v>10</v>
      </c>
      <c r="R63" s="523">
        <v>11</v>
      </c>
      <c r="S63" s="523">
        <v>12</v>
      </c>
      <c r="T63" s="523">
        <v>13</v>
      </c>
      <c r="U63" s="523">
        <v>14</v>
      </c>
      <c r="V63" s="523">
        <v>15</v>
      </c>
    </row>
    <row r="64" spans="1:54" ht="30.75" customHeight="1">
      <c r="A64" s="668" t="s">
        <v>478</v>
      </c>
      <c r="B64" s="668"/>
      <c r="C64" s="668"/>
      <c r="D64" s="668"/>
      <c r="E64" s="668"/>
      <c r="F64" s="529" t="s">
        <v>246</v>
      </c>
      <c r="G64" s="535" t="s">
        <v>477</v>
      </c>
      <c r="H64" s="523">
        <f>E27</f>
        <v>2024</v>
      </c>
      <c r="I64" s="523">
        <f t="shared" ref="I64:U64" si="59">F27</f>
        <v>2025</v>
      </c>
      <c r="J64" s="523">
        <f t="shared" si="59"/>
        <v>2026</v>
      </c>
      <c r="K64" s="523">
        <f t="shared" si="59"/>
        <v>2027</v>
      </c>
      <c r="L64" s="523">
        <f t="shared" si="59"/>
        <v>2028</v>
      </c>
      <c r="M64" s="523">
        <f t="shared" si="59"/>
        <v>2029</v>
      </c>
      <c r="N64" s="523">
        <f t="shared" si="59"/>
        <v>2030</v>
      </c>
      <c r="O64" s="523">
        <f t="shared" si="59"/>
        <v>2031</v>
      </c>
      <c r="P64" s="523">
        <f t="shared" si="59"/>
        <v>2032</v>
      </c>
      <c r="Q64" s="523">
        <f t="shared" si="59"/>
        <v>2033</v>
      </c>
      <c r="R64" s="523">
        <f t="shared" si="59"/>
        <v>2034</v>
      </c>
      <c r="S64" s="523">
        <f t="shared" si="59"/>
        <v>2035</v>
      </c>
      <c r="T64" s="523">
        <f t="shared" si="59"/>
        <v>2036</v>
      </c>
      <c r="U64" s="523">
        <f t="shared" si="59"/>
        <v>2037</v>
      </c>
      <c r="V64" s="523">
        <f>S27</f>
        <v>2038</v>
      </c>
    </row>
    <row r="65" spans="1:22" ht="30.75" customHeight="1">
      <c r="A65" s="665" t="s">
        <v>479</v>
      </c>
      <c r="B65" s="665"/>
      <c r="C65" s="665"/>
      <c r="D65" s="665"/>
      <c r="E65" s="665"/>
      <c r="F65" s="524" t="s">
        <v>480</v>
      </c>
      <c r="G65" s="539">
        <f>SUM(H65:V65)</f>
        <v>33000</v>
      </c>
      <c r="H65" s="525">
        <v>2200</v>
      </c>
      <c r="I65" s="525">
        <v>2200</v>
      </c>
      <c r="J65" s="525">
        <v>2200</v>
      </c>
      <c r="K65" s="525">
        <v>2200</v>
      </c>
      <c r="L65" s="525">
        <v>2200</v>
      </c>
      <c r="M65" s="525">
        <v>2200</v>
      </c>
      <c r="N65" s="525">
        <v>2200</v>
      </c>
      <c r="O65" s="525">
        <v>2200</v>
      </c>
      <c r="P65" s="525">
        <v>2200</v>
      </c>
      <c r="Q65" s="525">
        <v>2200</v>
      </c>
      <c r="R65" s="525">
        <v>2200</v>
      </c>
      <c r="S65" s="525">
        <v>2200</v>
      </c>
      <c r="T65" s="525">
        <v>2200</v>
      </c>
      <c r="U65" s="525">
        <v>2200</v>
      </c>
      <c r="V65" s="525">
        <v>2200</v>
      </c>
    </row>
    <row r="66" spans="1:22" ht="30.75" customHeight="1">
      <c r="A66" s="665" t="s">
        <v>481</v>
      </c>
      <c r="B66" s="665"/>
      <c r="C66" s="665"/>
      <c r="D66" s="665"/>
      <c r="E66" s="665"/>
      <c r="F66" s="524" t="s">
        <v>482</v>
      </c>
      <c r="G66" s="535" t="s">
        <v>477</v>
      </c>
      <c r="H66" s="526">
        <v>1</v>
      </c>
      <c r="I66" s="526">
        <v>1.1000000000000001</v>
      </c>
      <c r="J66" s="526">
        <v>1.1000000000000001</v>
      </c>
      <c r="K66" s="526">
        <v>1.1000000000000001</v>
      </c>
      <c r="L66" s="526">
        <v>1.1000000000000001</v>
      </c>
      <c r="M66" s="526">
        <v>1.1000000000000001</v>
      </c>
      <c r="N66" s="526">
        <v>1.1000000000000001</v>
      </c>
      <c r="O66" s="526">
        <v>1.1000000000000001</v>
      </c>
      <c r="P66" s="526">
        <v>1.1000000000000001</v>
      </c>
      <c r="Q66" s="526">
        <v>1.1000000000000001</v>
      </c>
      <c r="R66" s="526">
        <v>1.1000000000000001</v>
      </c>
      <c r="S66" s="526">
        <v>1.1000000000000001</v>
      </c>
      <c r="T66" s="526">
        <v>1.1000000000000001</v>
      </c>
      <c r="U66" s="526">
        <v>1.1000000000000001</v>
      </c>
      <c r="V66" s="526">
        <v>1.1000000000000001</v>
      </c>
    </row>
    <row r="67" spans="1:22" ht="30.75" customHeight="1">
      <c r="A67" s="665" t="s">
        <v>483</v>
      </c>
      <c r="B67" s="665"/>
      <c r="C67" s="665"/>
      <c r="D67" s="665"/>
      <c r="E67" s="665"/>
      <c r="F67" s="524" t="s">
        <v>452</v>
      </c>
      <c r="G67" s="535" t="s">
        <v>477</v>
      </c>
      <c r="H67" s="525">
        <v>0</v>
      </c>
      <c r="I67" s="527">
        <v>4.0000000000000001E-3</v>
      </c>
      <c r="J67" s="527">
        <v>4.4999999999999997E-3</v>
      </c>
      <c r="K67" s="527">
        <v>5.0000000000000001E-3</v>
      </c>
      <c r="L67" s="527">
        <v>5.0000000000000001E-3</v>
      </c>
      <c r="M67" s="527">
        <v>5.0000000000000001E-3</v>
      </c>
      <c r="N67" s="527">
        <v>5.0000000000000001E-3</v>
      </c>
      <c r="O67" s="527">
        <v>5.0000000000000001E-3</v>
      </c>
      <c r="P67" s="527">
        <v>5.0000000000000001E-3</v>
      </c>
      <c r="Q67" s="527">
        <v>5.0000000000000001E-3</v>
      </c>
      <c r="R67" s="527">
        <v>5.0000000000000001E-3</v>
      </c>
      <c r="S67" s="527">
        <v>5.0000000000000001E-3</v>
      </c>
      <c r="T67" s="527">
        <v>5.0000000000000001E-3</v>
      </c>
      <c r="U67" s="527">
        <v>5.0000000000000001E-3</v>
      </c>
      <c r="V67" s="527">
        <v>5.0000000000000001E-3</v>
      </c>
    </row>
    <row r="68" spans="1:22" ht="30.75" customHeight="1">
      <c r="A68" s="665" t="s">
        <v>484</v>
      </c>
      <c r="B68" s="665"/>
      <c r="C68" s="665"/>
      <c r="D68" s="665"/>
      <c r="E68" s="665"/>
      <c r="F68" s="524" t="s">
        <v>450</v>
      </c>
      <c r="G68" s="536" t="s">
        <v>477</v>
      </c>
      <c r="H68" s="525">
        <v>20607</v>
      </c>
      <c r="I68" s="525">
        <f>H68*104%</f>
        <v>21431.280000000002</v>
      </c>
      <c r="J68" s="525">
        <f t="shared" ref="J68:V68" si="60">I68*104%</f>
        <v>22288.531200000005</v>
      </c>
      <c r="K68" s="525">
        <f t="shared" si="60"/>
        <v>23180.072448000006</v>
      </c>
      <c r="L68" s="525">
        <f t="shared" si="60"/>
        <v>24107.275345920007</v>
      </c>
      <c r="M68" s="525">
        <f t="shared" si="60"/>
        <v>25071.566359756809</v>
      </c>
      <c r="N68" s="525">
        <f t="shared" si="60"/>
        <v>26074.429014147081</v>
      </c>
      <c r="O68" s="525">
        <f t="shared" si="60"/>
        <v>27117.406174712964</v>
      </c>
      <c r="P68" s="525">
        <f t="shared" si="60"/>
        <v>28202.102421701482</v>
      </c>
      <c r="Q68" s="525">
        <f t="shared" si="60"/>
        <v>29330.186518569542</v>
      </c>
      <c r="R68" s="525">
        <f t="shared" si="60"/>
        <v>30503.393979312325</v>
      </c>
      <c r="S68" s="525">
        <f t="shared" si="60"/>
        <v>31723.52973848482</v>
      </c>
      <c r="T68" s="525">
        <f t="shared" si="60"/>
        <v>32992.470928024217</v>
      </c>
      <c r="U68" s="525">
        <f t="shared" si="60"/>
        <v>34312.169765145183</v>
      </c>
      <c r="V68" s="525">
        <f t="shared" si="60"/>
        <v>35684.656555750989</v>
      </c>
    </row>
    <row r="69" spans="1:22" ht="30.75" customHeight="1">
      <c r="A69" s="665" t="s">
        <v>403</v>
      </c>
      <c r="B69" s="665"/>
      <c r="C69" s="665"/>
      <c r="D69" s="665"/>
      <c r="E69" s="665"/>
      <c r="F69" s="524" t="s">
        <v>450</v>
      </c>
      <c r="G69" s="539">
        <f>SUM(H69:V69)</f>
        <v>4664597.9320872575</v>
      </c>
      <c r="H69" s="525">
        <f>H65*H66*H67*H68</f>
        <v>0</v>
      </c>
      <c r="I69" s="525">
        <f>I65*I66*I67*I68</f>
        <v>207454.79040000003</v>
      </c>
      <c r="J69" s="525">
        <f>J65*J66*J67*J68</f>
        <v>242722.10476800002</v>
      </c>
      <c r="K69" s="525">
        <f>K65*K66*K67*K68</f>
        <v>280478.87662080006</v>
      </c>
      <c r="L69" s="525">
        <f>L65*L66*L67*L68</f>
        <v>291698.03168563207</v>
      </c>
      <c r="M69" s="525">
        <f>M65*M66*M67*M68</f>
        <v>303365.95295305736</v>
      </c>
      <c r="N69" s="525">
        <f>N65*N66*N67*N68</f>
        <v>315500.59107117966</v>
      </c>
      <c r="O69" s="525">
        <f>O65*O66*O67*O68</f>
        <v>328120.61471402686</v>
      </c>
      <c r="P69" s="525">
        <f>P65*P66*P67*P68</f>
        <v>341245.43930258794</v>
      </c>
      <c r="Q69" s="525">
        <f>Q65*Q66*Q67*Q68</f>
        <v>354895.25687469146</v>
      </c>
      <c r="R69" s="525">
        <f>R65*R66*R67*R68</f>
        <v>369091.06714967912</v>
      </c>
      <c r="S69" s="525">
        <f>S65*S66*S67*S68</f>
        <v>383854.70983566629</v>
      </c>
      <c r="T69" s="525">
        <f>T65*T66*T67*T68</f>
        <v>399208.898229093</v>
      </c>
      <c r="U69" s="525">
        <f>U65*U66*U67*U68</f>
        <v>415177.25415825669</v>
      </c>
      <c r="V69" s="525">
        <f>V65*V66*V67*V68</f>
        <v>431784.34432458697</v>
      </c>
    </row>
    <row r="70" spans="1:22" ht="25.5" customHeight="1">
      <c r="A70" s="666"/>
      <c r="B70" s="666"/>
      <c r="C70" s="666"/>
      <c r="D70" s="666"/>
      <c r="E70" s="666"/>
      <c r="F70" s="524"/>
      <c r="G70" s="537"/>
      <c r="H70" s="524"/>
      <c r="I70" s="524"/>
      <c r="J70" s="524"/>
      <c r="K70" s="524"/>
      <c r="L70" s="524"/>
      <c r="M70" s="524"/>
      <c r="N70" s="524"/>
      <c r="O70" s="524"/>
      <c r="P70" s="524"/>
      <c r="Q70" s="524"/>
      <c r="R70" s="524"/>
      <c r="S70" s="524"/>
      <c r="T70" s="524"/>
      <c r="U70" s="524"/>
      <c r="V70" s="524"/>
    </row>
    <row r="71" spans="1:22" ht="25.5" customHeight="1">
      <c r="A71" s="666"/>
      <c r="B71" s="666"/>
      <c r="C71" s="666"/>
      <c r="D71" s="666"/>
      <c r="E71" s="666"/>
      <c r="F71" s="518"/>
      <c r="G71" s="538"/>
      <c r="H71" s="518"/>
      <c r="I71" s="518"/>
      <c r="J71" s="518"/>
      <c r="K71" s="518"/>
      <c r="L71" s="518"/>
      <c r="M71" s="518"/>
      <c r="N71" s="518"/>
      <c r="O71" s="518"/>
      <c r="P71" s="518"/>
      <c r="Q71" s="518"/>
      <c r="R71" s="518"/>
      <c r="S71" s="518"/>
      <c r="T71" s="518"/>
      <c r="U71" s="518"/>
      <c r="V71" s="518"/>
    </row>
  </sheetData>
  <mergeCells count="12">
    <mergeCell ref="A68:E68"/>
    <mergeCell ref="A69:E69"/>
    <mergeCell ref="A70:E70"/>
    <mergeCell ref="A71:E71"/>
    <mergeCell ref="A6:I8"/>
    <mergeCell ref="A19:I23"/>
    <mergeCell ref="A65:E65"/>
    <mergeCell ref="A66:E66"/>
    <mergeCell ref="A67:E67"/>
    <mergeCell ref="A64:E64"/>
    <mergeCell ref="A62:E62"/>
    <mergeCell ref="A63:E6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L28" sqref="L2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124</v>
      </c>
      <c r="B1" s="548"/>
      <c r="C1" s="482"/>
      <c r="D1" s="549" t="s">
        <v>125</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3"/>
    </row>
    <row r="3" spans="1:68" s="3" customFormat="1" hidden="1">
      <c r="A3" s="483"/>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9.2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144</v>
      </c>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146</v>
      </c>
      <c r="C16" s="183">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147</v>
      </c>
      <c r="C17" s="183">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148</v>
      </c>
      <c r="C18" s="183">
        <v>0.85</v>
      </c>
      <c r="D18" s="28">
        <f t="shared" si="2"/>
        <v>0</v>
      </c>
      <c r="E18" s="48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149</v>
      </c>
      <c r="C19" s="183">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150</v>
      </c>
      <c r="C20" s="183">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151</v>
      </c>
      <c r="C21" s="183">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152</v>
      </c>
      <c r="C22" s="183">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153</v>
      </c>
      <c r="C23" s="183">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6"/>
      <c r="B24" s="9" t="s">
        <v>154</v>
      </c>
      <c r="C24" s="184">
        <v>0.85</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6"/>
      <c r="B26" s="9" t="s">
        <v>156</v>
      </c>
      <c r="C26" s="488"/>
      <c r="D26" s="13"/>
      <c r="E26" s="487"/>
      <c r="F26" s="489"/>
      <c r="G26" s="489"/>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L19" sqref="L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157</v>
      </c>
      <c r="B1" s="548"/>
      <c r="C1" s="492"/>
      <c r="D1" s="555" t="s">
        <v>158</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row>
    <row r="5" spans="1:69" ht="33.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146</v>
      </c>
      <c r="C16" s="183">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tabSelected="1" zoomScale="90" zoomScaleNormal="90" workbookViewId="0">
      <pane xSplit="7" ySplit="6" topLeftCell="H8" activePane="bottomRight" state="frozen"/>
      <selection pane="bottomRight" activeCell="B24" sqref="B24"/>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165</v>
      </c>
      <c r="B1" s="548"/>
      <c r="C1" s="492"/>
      <c r="D1" s="555" t="s">
        <v>166</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row>
    <row r="5" spans="1:69" ht="21.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3">
        <v>0.85</v>
      </c>
      <c r="D7" s="28">
        <f>F7+G7</f>
        <v>0</v>
      </c>
      <c r="E7" s="484">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533" t="s">
        <v>138</v>
      </c>
      <c r="C8" s="183">
        <v>0.85</v>
      </c>
      <c r="D8" s="28">
        <f t="shared" ref="D8:D23" si="2">F8+G8</f>
        <v>10000</v>
      </c>
      <c r="E8" s="484">
        <f t="shared" si="0"/>
        <v>7.6687116564417178E-3</v>
      </c>
      <c r="F8" s="26">
        <f>ROUND(H8+J8+L8+N8+P8+R8+T8+V8+X8,2)</f>
        <v>10000</v>
      </c>
      <c r="G8" s="26">
        <f>ROUND(I8+K8+M8+O8+Q8+S8+U8+W8+Y8,2)</f>
        <v>0</v>
      </c>
      <c r="H8" s="18">
        <v>5000</v>
      </c>
      <c r="I8" s="18"/>
      <c r="J8" s="18">
        <v>5000</v>
      </c>
      <c r="K8" s="18"/>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533" t="s">
        <v>139</v>
      </c>
      <c r="C9" s="183">
        <v>0.85</v>
      </c>
      <c r="D9" s="28">
        <f t="shared" si="2"/>
        <v>0</v>
      </c>
      <c r="E9" s="484">
        <f t="shared" si="0"/>
        <v>0</v>
      </c>
      <c r="F9" s="26">
        <f t="shared" si="1"/>
        <v>0</v>
      </c>
      <c r="G9" s="26">
        <f t="shared" si="1"/>
        <v>0</v>
      </c>
      <c r="H9" s="18"/>
      <c r="I9" s="18"/>
      <c r="J9" s="18"/>
      <c r="K9" s="18"/>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533" t="s">
        <v>140</v>
      </c>
      <c r="C10" s="183">
        <v>0.85</v>
      </c>
      <c r="D10" s="28">
        <f t="shared" si="2"/>
        <v>0</v>
      </c>
      <c r="E10" s="484">
        <f t="shared" si="0"/>
        <v>0</v>
      </c>
      <c r="F10" s="27">
        <f t="shared" ref="F10:G12" si="3">ROUND(H10+J10+L10+N10+P10+R10+T10+V10+X10,2)</f>
        <v>0</v>
      </c>
      <c r="G10" s="27">
        <f t="shared" si="3"/>
        <v>0</v>
      </c>
      <c r="H10" s="18"/>
      <c r="I10" s="18"/>
      <c r="J10" s="18"/>
      <c r="K10" s="18"/>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533" t="s">
        <v>141</v>
      </c>
      <c r="C11" s="183">
        <v>0.85</v>
      </c>
      <c r="D11" s="28">
        <f t="shared" si="2"/>
        <v>0</v>
      </c>
      <c r="E11" s="484">
        <f t="shared" si="0"/>
        <v>0</v>
      </c>
      <c r="F11" s="27">
        <f t="shared" si="3"/>
        <v>0</v>
      </c>
      <c r="G11" s="27">
        <f t="shared" si="3"/>
        <v>0</v>
      </c>
      <c r="H11" s="18"/>
      <c r="I11" s="18"/>
      <c r="J11" s="18"/>
      <c r="K11" s="18"/>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533" t="s">
        <v>142</v>
      </c>
      <c r="C12" s="183">
        <v>0.85</v>
      </c>
      <c r="D12" s="28">
        <f t="shared" si="2"/>
        <v>1240000</v>
      </c>
      <c r="E12" s="484">
        <f t="shared" si="0"/>
        <v>0.95092024539877296</v>
      </c>
      <c r="F12" s="26">
        <f t="shared" si="3"/>
        <v>1240000</v>
      </c>
      <c r="G12" s="26">
        <f>ROUND(I12+K12+M12+O12+Q12+S12+U12+W12+Y12,2)</f>
        <v>0</v>
      </c>
      <c r="H12" s="18">
        <v>1220000</v>
      </c>
      <c r="I12" s="18"/>
      <c r="J12" s="18">
        <v>20000</v>
      </c>
      <c r="K12" s="18"/>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533" t="s">
        <v>143</v>
      </c>
      <c r="C13" s="183">
        <v>0.85</v>
      </c>
      <c r="D13" s="28">
        <f t="shared" si="2"/>
        <v>2000</v>
      </c>
      <c r="E13" s="484">
        <f t="shared" si="0"/>
        <v>1.5337423312883436E-3</v>
      </c>
      <c r="F13" s="20">
        <f>ROUND(H13+J13+L13+N13+P13+R13+T13+V13+X13,2)</f>
        <v>2000</v>
      </c>
      <c r="G13" s="20">
        <f>ROUND(I13+K13+M13+O13+Q13+S13+U13+W13+Y13,2)</f>
        <v>0</v>
      </c>
      <c r="H13" s="18">
        <v>1000</v>
      </c>
      <c r="I13" s="18"/>
      <c r="J13" s="18">
        <v>1000</v>
      </c>
      <c r="K13" s="18"/>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534"/>
      <c r="C14" s="183"/>
      <c r="D14" s="28"/>
      <c r="E14" s="484"/>
      <c r="F14" s="27"/>
      <c r="G14" s="27"/>
      <c r="H14" s="18"/>
      <c r="I14" s="18"/>
      <c r="J14" s="18"/>
      <c r="K14" s="18"/>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534"/>
      <c r="C15" s="183"/>
      <c r="D15" s="28"/>
      <c r="E15" s="484"/>
      <c r="F15" s="27"/>
      <c r="G15" s="27"/>
      <c r="H15" s="18"/>
      <c r="I15" s="18"/>
      <c r="J15" s="18"/>
      <c r="K15" s="18"/>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533" t="s">
        <v>146</v>
      </c>
      <c r="C16" s="183">
        <v>0.85</v>
      </c>
      <c r="D16" s="28">
        <f t="shared" si="2"/>
        <v>0</v>
      </c>
      <c r="E16" s="484">
        <f t="shared" ref="E16:E24" si="4">D16/$D$24</f>
        <v>0</v>
      </c>
      <c r="F16" s="27">
        <f t="shared" ref="F16:G23" si="5">ROUND(H16+J16+L16+N16+P16+R16+T16+V16+X16,2)</f>
        <v>0</v>
      </c>
      <c r="G16" s="27">
        <f t="shared" si="5"/>
        <v>0</v>
      </c>
      <c r="H16" s="18"/>
      <c r="I16" s="18"/>
      <c r="J16" s="18"/>
      <c r="K16" s="18"/>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533" t="s">
        <v>147</v>
      </c>
      <c r="C17" s="183">
        <v>0.85</v>
      </c>
      <c r="D17" s="28">
        <f t="shared" si="2"/>
        <v>0</v>
      </c>
      <c r="E17" s="484">
        <f t="shared" si="4"/>
        <v>0</v>
      </c>
      <c r="F17" s="27">
        <f t="shared" si="5"/>
        <v>0</v>
      </c>
      <c r="G17" s="27">
        <f t="shared" si="5"/>
        <v>0</v>
      </c>
      <c r="H17" s="18"/>
      <c r="I17" s="18"/>
      <c r="J17" s="18"/>
      <c r="K17" s="18"/>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533">
        <v>2</v>
      </c>
      <c r="C18" s="183">
        <v>0.85</v>
      </c>
      <c r="D18" s="28">
        <f t="shared" si="2"/>
        <v>2000</v>
      </c>
      <c r="E18" s="484">
        <f t="shared" si="4"/>
        <v>1.5337423312883436E-3</v>
      </c>
      <c r="F18" s="27">
        <f t="shared" si="5"/>
        <v>2000</v>
      </c>
      <c r="G18" s="27">
        <f t="shared" si="5"/>
        <v>0</v>
      </c>
      <c r="H18" s="18">
        <v>1000</v>
      </c>
      <c r="I18" s="18"/>
      <c r="J18" s="18">
        <v>1000</v>
      </c>
      <c r="K18" s="18"/>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c r="A19" s="8">
        <v>11</v>
      </c>
      <c r="B19" s="533" t="s">
        <v>149</v>
      </c>
      <c r="C19" s="183">
        <v>0.85</v>
      </c>
      <c r="D19" s="28">
        <f t="shared" si="2"/>
        <v>0</v>
      </c>
      <c r="E19" s="484">
        <f t="shared" si="4"/>
        <v>0</v>
      </c>
      <c r="F19" s="27">
        <f t="shared" si="5"/>
        <v>0</v>
      </c>
      <c r="G19" s="27">
        <f t="shared" si="5"/>
        <v>0</v>
      </c>
      <c r="H19" s="18">
        <v>0</v>
      </c>
      <c r="I19" s="18"/>
      <c r="J19" s="18">
        <v>0</v>
      </c>
      <c r="K19" s="18"/>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533" t="s">
        <v>150</v>
      </c>
      <c r="C20" s="183">
        <v>0.85</v>
      </c>
      <c r="D20" s="28">
        <f t="shared" si="2"/>
        <v>0</v>
      </c>
      <c r="E20" s="484">
        <f t="shared" si="4"/>
        <v>0</v>
      </c>
      <c r="F20" s="27">
        <f t="shared" si="5"/>
        <v>0</v>
      </c>
      <c r="G20" s="27">
        <f t="shared" si="5"/>
        <v>0</v>
      </c>
      <c r="H20" s="18"/>
      <c r="I20" s="18"/>
      <c r="J20" s="18"/>
      <c r="K20" s="18"/>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533" t="s">
        <v>151</v>
      </c>
      <c r="C21" s="183">
        <v>0.85</v>
      </c>
      <c r="D21" s="28">
        <f t="shared" si="2"/>
        <v>0</v>
      </c>
      <c r="E21" s="484">
        <f t="shared" si="4"/>
        <v>0</v>
      </c>
      <c r="F21" s="27">
        <f t="shared" si="5"/>
        <v>0</v>
      </c>
      <c r="G21" s="27">
        <f t="shared" si="5"/>
        <v>0</v>
      </c>
      <c r="H21" s="18">
        <v>0</v>
      </c>
      <c r="I21" s="18"/>
      <c r="J21" s="18">
        <v>0</v>
      </c>
      <c r="K21" s="18"/>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533" t="s">
        <v>152</v>
      </c>
      <c r="C22" s="183">
        <v>0.85</v>
      </c>
      <c r="D22" s="28">
        <f t="shared" si="2"/>
        <v>0</v>
      </c>
      <c r="E22" s="484">
        <f t="shared" si="4"/>
        <v>0</v>
      </c>
      <c r="F22" s="27">
        <f t="shared" si="5"/>
        <v>0</v>
      </c>
      <c r="G22" s="27">
        <f t="shared" si="5"/>
        <v>0</v>
      </c>
      <c r="H22" s="18"/>
      <c r="I22" s="18"/>
      <c r="J22" s="18"/>
      <c r="K22" s="18"/>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533" t="s">
        <v>153</v>
      </c>
      <c r="C23" s="183">
        <v>0.85</v>
      </c>
      <c r="D23" s="28">
        <f t="shared" si="2"/>
        <v>50000</v>
      </c>
      <c r="E23" s="484">
        <f t="shared" si="4"/>
        <v>3.834355828220859E-2</v>
      </c>
      <c r="F23" s="27">
        <f t="shared" si="5"/>
        <v>50000</v>
      </c>
      <c r="G23" s="27">
        <f t="shared" si="5"/>
        <v>0</v>
      </c>
      <c r="H23" s="18">
        <v>25000</v>
      </c>
      <c r="I23" s="18"/>
      <c r="J23" s="18">
        <v>25000</v>
      </c>
      <c r="K23" s="18"/>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154</v>
      </c>
      <c r="C24" s="184">
        <v>0.85</v>
      </c>
      <c r="D24" s="28">
        <f>F24+G24</f>
        <v>1304000</v>
      </c>
      <c r="E24" s="487">
        <f t="shared" si="4"/>
        <v>1</v>
      </c>
      <c r="F24" s="20">
        <f t="shared" ref="F24:Y24" si="6">F7+F8+F9+F10+F11+F12+F13+F16+F17+F18+F19+F20+F21+F22+F23</f>
        <v>1304000</v>
      </c>
      <c r="G24" s="20">
        <f t="shared" si="6"/>
        <v>0</v>
      </c>
      <c r="H24" s="20">
        <f t="shared" si="6"/>
        <v>1252000</v>
      </c>
      <c r="I24" s="20">
        <f t="shared" si="6"/>
        <v>0</v>
      </c>
      <c r="J24" s="20">
        <f t="shared" si="6"/>
        <v>52000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156</v>
      </c>
      <c r="C26" s="488"/>
      <c r="D26" s="13"/>
      <c r="E26" s="487"/>
      <c r="F26" s="489"/>
      <c r="G26" s="489"/>
      <c r="H26" s="20">
        <f>H24-H23</f>
        <v>1227000</v>
      </c>
      <c r="I26" s="20">
        <f>I24-I23-I25</f>
        <v>0</v>
      </c>
      <c r="J26" s="20">
        <f t="shared" ref="J26:Y26" si="7">J24-J23</f>
        <v>27000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83"/>
    </row>
    <row r="28" spans="1:69" s="3" customFormat="1">
      <c r="A28" s="483"/>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I32" sqref="I3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167</v>
      </c>
      <c r="B1" s="548"/>
      <c r="C1" s="482"/>
      <c r="D1" s="556" t="s">
        <v>168</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169</v>
      </c>
      <c r="C3" s="96"/>
      <c r="D3" s="97"/>
      <c r="E3" s="97"/>
      <c r="F3" s="97"/>
      <c r="G3" s="508" t="s">
        <v>170</v>
      </c>
      <c r="H3" s="187"/>
      <c r="I3" s="97"/>
      <c r="J3" s="97"/>
      <c r="K3" s="557" t="s">
        <v>171</v>
      </c>
      <c r="L3" s="558"/>
      <c r="M3" s="558"/>
      <c r="N3" s="559"/>
      <c r="O3" s="502"/>
      <c r="P3" s="493" t="s">
        <v>108</v>
      </c>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0.2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172</v>
      </c>
      <c r="B1" s="548"/>
      <c r="C1" s="492"/>
      <c r="D1" s="555" t="s">
        <v>173</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7"/>
      <c r="K3" s="557" t="s">
        <v>171</v>
      </c>
      <c r="L3" s="558"/>
      <c r="M3" s="558"/>
      <c r="N3" s="559"/>
      <c r="O3" s="502"/>
      <c r="P3" s="493" t="s">
        <v>108</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5.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I20" sqref="I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174</v>
      </c>
      <c r="B1" s="548"/>
      <c r="C1" s="492"/>
      <c r="D1" s="555" t="s">
        <v>175</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24" customHeight="1">
      <c r="A3" s="483"/>
      <c r="B3" s="507" t="s">
        <v>169</v>
      </c>
      <c r="C3" s="96"/>
      <c r="D3" s="97"/>
      <c r="E3" s="97"/>
      <c r="F3" s="97"/>
      <c r="G3" s="508" t="s">
        <v>170</v>
      </c>
      <c r="H3" s="187"/>
      <c r="I3" s="97"/>
      <c r="J3" s="97"/>
      <c r="K3" s="557" t="s">
        <v>171</v>
      </c>
      <c r="L3" s="558"/>
      <c r="M3" s="558"/>
      <c r="N3" s="559"/>
      <c r="O3" s="502"/>
      <c r="P3" s="493" t="s">
        <v>108</v>
      </c>
      <c r="T3" s="560" t="s">
        <v>176</v>
      </c>
      <c r="U3" s="560"/>
      <c r="V3" s="560"/>
      <c r="W3" s="560"/>
      <c r="X3" s="188"/>
      <c r="AA3" s="3">
        <f>IF(X3="",0,IF(X3="Jā",2,1))</f>
        <v>0</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177</v>
      </c>
      <c r="B1" s="548"/>
      <c r="C1" s="482"/>
      <c r="D1" s="556" t="s">
        <v>178</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169</v>
      </c>
      <c r="C3" s="96"/>
      <c r="D3" s="97"/>
      <c r="E3" s="97"/>
      <c r="F3" s="97"/>
      <c r="G3" s="508" t="s">
        <v>170</v>
      </c>
      <c r="H3" s="187"/>
      <c r="I3" s="97"/>
      <c r="J3" s="97"/>
      <c r="K3" s="557" t="s">
        <v>171</v>
      </c>
      <c r="L3" s="558"/>
      <c r="M3" s="558"/>
      <c r="N3" s="559"/>
      <c r="O3" s="502"/>
      <c r="P3" s="493" t="s">
        <v>108</v>
      </c>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1.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0"/>
      <c r="B66" s="49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EB9D454B-B6EB-4C5C-A929-684E7BBDCF34}"/>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2024-05-31T10:28:37Z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