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-spalv\Downloads\New folder (2)\"/>
    </mc:Choice>
  </mc:AlternateContent>
  <xr:revisionPtr revIDLastSave="0" documentId="13_ncr:1_{944B9874-F76C-49A6-84BC-8AB05CEB046E}" xr6:coauthVersionLast="47" xr6:coauthVersionMax="47" xr10:uidLastSave="{00000000-0000-0000-0000-000000000000}"/>
  <bookViews>
    <workbookView xWindow="-120" yWindow="-120" windowWidth="23280" windowHeight="12600" tabRatio="478" xr2:uid="{00000000-000D-0000-FFFF-FFFF00000000}"/>
  </bookViews>
  <sheets>
    <sheet name="Projekta dati" sheetId="5" r:id="rId1"/>
    <sheet name="MKN_23.p" sheetId="22" r:id="rId2"/>
    <sheet name="Dati" sheetId="20" state="hidden" r:id="rId3"/>
    <sheet name="Projekta datu parbaude" sheetId="21" state="hidden" r:id="rId4"/>
  </sheets>
  <definedNames>
    <definedName name="_ftn1" localSheetId="2">Dati!$O$31</definedName>
    <definedName name="_ftnref1" localSheetId="2">Dati!$O$6</definedName>
    <definedName name="_xlnm.Print_Area" localSheetId="0">'Projekta dati'!$B$2:$U$29</definedName>
    <definedName name="_xlnm.Print_Area" localSheetId="3">'Projekta datu parbaude'!$B$2:$V$29</definedName>
    <definedName name="Output_Heizwaerme_Jahresverfahr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6" i="20" l="1"/>
  <c r="H56" i="20"/>
  <c r="G57" i="20"/>
  <c r="I57" i="20" s="1"/>
  <c r="K40" i="22" s="1"/>
  <c r="H57" i="20"/>
  <c r="G53" i="20"/>
  <c r="H53" i="20"/>
  <c r="G54" i="20"/>
  <c r="H54" i="20"/>
  <c r="G55" i="20"/>
  <c r="I55" i="20" s="1"/>
  <c r="K38" i="22" s="1"/>
  <c r="H55" i="20"/>
  <c r="G43" i="20"/>
  <c r="H43" i="20"/>
  <c r="G44" i="20"/>
  <c r="H44" i="20"/>
  <c r="G45" i="20"/>
  <c r="H45" i="20"/>
  <c r="G46" i="20"/>
  <c r="H46" i="20"/>
  <c r="G47" i="20"/>
  <c r="H47" i="20"/>
  <c r="G48" i="20"/>
  <c r="H48" i="20"/>
  <c r="G49" i="20"/>
  <c r="H49" i="20"/>
  <c r="G50" i="20"/>
  <c r="H50" i="20"/>
  <c r="G51" i="20"/>
  <c r="H51" i="20"/>
  <c r="G52" i="20"/>
  <c r="H52" i="20"/>
  <c r="I31" i="22"/>
  <c r="J31" i="22"/>
  <c r="I32" i="22"/>
  <c r="J32" i="22"/>
  <c r="I33" i="22"/>
  <c r="J33" i="22"/>
  <c r="I34" i="22"/>
  <c r="J34" i="22"/>
  <c r="I35" i="22"/>
  <c r="J35" i="22"/>
  <c r="I36" i="22"/>
  <c r="J36" i="22"/>
  <c r="E19" i="5"/>
  <c r="M19" i="5"/>
  <c r="G19" i="5"/>
  <c r="H17" i="20"/>
  <c r="H16" i="20"/>
  <c r="J10" i="22"/>
  <c r="J11" i="22"/>
  <c r="J12" i="22"/>
  <c r="J13" i="22"/>
  <c r="J14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8" i="22"/>
  <c r="J29" i="22"/>
  <c r="J30" i="22"/>
  <c r="J37" i="22"/>
  <c r="J38" i="22"/>
  <c r="J39" i="22"/>
  <c r="J40" i="22"/>
  <c r="J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7" i="22"/>
  <c r="I38" i="22"/>
  <c r="I39" i="22"/>
  <c r="I40" i="22"/>
  <c r="I9" i="22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26" i="20"/>
  <c r="G40" i="20"/>
  <c r="G41" i="20"/>
  <c r="G42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26" i="20"/>
  <c r="H13" i="20"/>
  <c r="C41" i="22"/>
  <c r="E21" i="5"/>
  <c r="E20" i="5"/>
  <c r="U9" i="21"/>
  <c r="I54" i="20" l="1"/>
  <c r="K37" i="22" s="1"/>
  <c r="L37" i="22" s="1"/>
  <c r="I52" i="20"/>
  <c r="K35" i="22" s="1"/>
  <c r="I50" i="20"/>
  <c r="K33" i="22" s="1"/>
  <c r="I49" i="20"/>
  <c r="K32" i="22" s="1"/>
  <c r="I56" i="20"/>
  <c r="K39" i="22" s="1"/>
  <c r="I47" i="20"/>
  <c r="K30" i="22" s="1"/>
  <c r="I43" i="20"/>
  <c r="K26" i="22" s="1"/>
  <c r="L26" i="22" s="1"/>
  <c r="I53" i="20"/>
  <c r="K36" i="22" s="1"/>
  <c r="L36" i="22" s="1"/>
  <c r="I51" i="20"/>
  <c r="K34" i="22" s="1"/>
  <c r="L34" i="22" s="1"/>
  <c r="I45" i="20"/>
  <c r="K28" i="22" s="1"/>
  <c r="L28" i="22" s="1"/>
  <c r="I44" i="20"/>
  <c r="K27" i="22" s="1"/>
  <c r="L27" i="22" s="1"/>
  <c r="I46" i="20"/>
  <c r="K29" i="22" s="1"/>
  <c r="L29" i="22" s="1"/>
  <c r="I48" i="20"/>
  <c r="K31" i="22" s="1"/>
  <c r="L31" i="22" s="1"/>
  <c r="L33" i="22"/>
  <c r="L32" i="22"/>
  <c r="L35" i="22"/>
  <c r="I42" i="20"/>
  <c r="I28" i="20"/>
  <c r="K11" i="22" s="1"/>
  <c r="L11" i="22" s="1"/>
  <c r="I34" i="20"/>
  <c r="K17" i="22" s="1"/>
  <c r="L17" i="22" s="1"/>
  <c r="I41" i="20"/>
  <c r="I40" i="20"/>
  <c r="I39" i="20"/>
  <c r="I35" i="20"/>
  <c r="K18" i="22" s="1"/>
  <c r="L18" i="22" s="1"/>
  <c r="I27" i="20"/>
  <c r="K10" i="22" s="1"/>
  <c r="L10" i="22" s="1"/>
  <c r="L30" i="22"/>
  <c r="I38" i="20"/>
  <c r="L40" i="22"/>
  <c r="L38" i="22"/>
  <c r="I36" i="20"/>
  <c r="K19" i="22" s="1"/>
  <c r="L19" i="22" s="1"/>
  <c r="L39" i="22"/>
  <c r="I37" i="20"/>
  <c r="K20" i="22" s="1"/>
  <c r="L20" i="22" s="1"/>
  <c r="I33" i="20"/>
  <c r="K16" i="22" s="1"/>
  <c r="L16" i="22" s="1"/>
  <c r="I32" i="20"/>
  <c r="K15" i="22" s="1"/>
  <c r="L15" i="22" s="1"/>
  <c r="I31" i="20"/>
  <c r="I30" i="20"/>
  <c r="I29" i="20"/>
  <c r="K12" i="22" s="1"/>
  <c r="L12" i="22" s="1"/>
  <c r="I26" i="20"/>
  <c r="K9" i="22" s="1"/>
  <c r="L9" i="22" s="1"/>
  <c r="U10" i="21"/>
  <c r="M20" i="5"/>
  <c r="Q28" i="5"/>
  <c r="V28" i="21" s="1" a="1"/>
  <c r="V28" i="21" s="1"/>
  <c r="E16" i="21"/>
  <c r="E17" i="21"/>
  <c r="E18" i="21"/>
  <c r="N16" i="21"/>
  <c r="N17" i="21"/>
  <c r="N18" i="21"/>
  <c r="M33" i="22" l="1"/>
  <c r="M31" i="22"/>
  <c r="K22" i="22"/>
  <c r="L22" i="22" s="1"/>
  <c r="K24" i="22"/>
  <c r="L24" i="22" s="1"/>
  <c r="K23" i="22"/>
  <c r="L23" i="22" s="1"/>
  <c r="K21" i="22"/>
  <c r="L21" i="22" s="1"/>
  <c r="K25" i="22"/>
  <c r="L25" i="22" s="1"/>
  <c r="M25" i="22" s="1"/>
  <c r="M35" i="22"/>
  <c r="M11" i="22"/>
  <c r="M27" i="22"/>
  <c r="M15" i="22"/>
  <c r="M9" i="22"/>
  <c r="M39" i="22"/>
  <c r="M17" i="22"/>
  <c r="M29" i="22"/>
  <c r="M37" i="22"/>
  <c r="K13" i="22"/>
  <c r="L13" i="22" s="1"/>
  <c r="K14" i="22"/>
  <c r="L14" i="22" s="1"/>
  <c r="M19" i="22"/>
  <c r="O23" i="5"/>
  <c r="P21" i="21" s="1" a="1"/>
  <c r="P21" i="21" s="1"/>
  <c r="M21" i="5"/>
  <c r="G23" i="5"/>
  <c r="H20" i="21" s="1" a="1"/>
  <c r="H20" i="21" s="1"/>
  <c r="B30" i="21" a="1"/>
  <c r="B30" i="21" s="1"/>
  <c r="R27" i="21" a="1"/>
  <c r="R27" i="21" s="1"/>
  <c r="R28" i="21" s="1"/>
  <c r="Q28" i="21" s="1"/>
  <c r="M15" i="21" a="1"/>
  <c r="M15" i="21" s="1"/>
  <c r="M14" i="21" a="1"/>
  <c r="M14" i="21" s="1"/>
  <c r="N21" i="21" s="1"/>
  <c r="M13" i="21" a="1"/>
  <c r="M13" i="21" s="1"/>
  <c r="N20" i="21" s="1"/>
  <c r="D15" i="21" a="1"/>
  <c r="D15" i="21" s="1"/>
  <c r="D14" i="21" a="1"/>
  <c r="D14" i="21" s="1"/>
  <c r="H23" i="21" s="1"/>
  <c r="D13" i="21" a="1"/>
  <c r="D13" i="21" s="1"/>
  <c r="E20" i="21" s="1"/>
  <c r="F20" i="21" s="1"/>
  <c r="J10" i="21"/>
  <c r="L10" i="21" s="1"/>
  <c r="J9" i="21"/>
  <c r="J8" i="21"/>
  <c r="L8" i="21" s="1"/>
  <c r="G7" i="21" a="1"/>
  <c r="G7" i="21" s="1"/>
  <c r="N20" i="5"/>
  <c r="F20" i="5"/>
  <c r="M21" i="22" l="1"/>
  <c r="M23" i="22"/>
  <c r="L41" i="22"/>
  <c r="M13" i="22"/>
  <c r="M21" i="21"/>
  <c r="P23" i="21"/>
  <c r="P24" i="21" s="1"/>
  <c r="H21" i="21"/>
  <c r="N19" i="21"/>
  <c r="M20" i="21"/>
  <c r="E21" i="21"/>
  <c r="E19" i="21"/>
  <c r="F21" i="21"/>
  <c r="O17" i="21"/>
  <c r="O16" i="21"/>
  <c r="O20" i="21"/>
  <c r="O19" i="21"/>
  <c r="O18" i="21"/>
  <c r="G16" i="21"/>
  <c r="G19" i="21"/>
  <c r="G17" i="21"/>
  <c r="G20" i="21"/>
  <c r="G18" i="21"/>
  <c r="K8" i="5"/>
  <c r="K10" i="5"/>
  <c r="L2" i="20"/>
  <c r="M41" i="22" l="1"/>
  <c r="L42" i="22" s="1"/>
  <c r="N22" i="21"/>
  <c r="M22" i="5"/>
  <c r="M23" i="5" s="1"/>
  <c r="M19" i="21"/>
  <c r="F19" i="21"/>
  <c r="L3" i="20"/>
  <c r="G10" i="20"/>
  <c r="G19" i="20"/>
  <c r="H5" i="20"/>
  <c r="J5" i="20" s="1"/>
  <c r="K5" i="20" s="1"/>
  <c r="N19" i="5"/>
  <c r="N18" i="5"/>
  <c r="N17" i="5"/>
  <c r="N16" i="5"/>
  <c r="K3" i="20"/>
  <c r="K2" i="20"/>
  <c r="J2" i="20"/>
  <c r="F19" i="5"/>
  <c r="F18" i="5"/>
  <c r="F17" i="5"/>
  <c r="F16" i="5"/>
  <c r="H14" i="20" l="1"/>
  <c r="H19" i="20"/>
  <c r="H15" i="20"/>
  <c r="M22" i="21"/>
  <c r="N23" i="21"/>
  <c r="N24" i="21" s="1"/>
  <c r="E22" i="21"/>
  <c r="E22" i="5"/>
  <c r="E23" i="5" s="1"/>
  <c r="L23" i="5" s="1"/>
  <c r="Q23" i="5" s="1"/>
  <c r="R21" i="21" s="1" a="1"/>
  <c r="R21" i="21" s="1"/>
  <c r="H20" i="20"/>
  <c r="H21" i="20" l="1"/>
  <c r="I43" i="22"/>
  <c r="L43" i="22" s="1"/>
  <c r="I23" i="5"/>
  <c r="J20" i="21" s="1" a="1"/>
  <c r="J20" i="21" s="1"/>
  <c r="H26" i="5"/>
  <c r="T12" i="5" s="1"/>
  <c r="F22" i="21"/>
  <c r="E23" i="21"/>
  <c r="B26" i="21" l="1" a="1"/>
  <c r="B26" i="21" s="1"/>
  <c r="Q26" i="5"/>
  <c r="Q29" i="5" s="1"/>
  <c r="V29" i="21" s="1" a="1"/>
  <c r="V29" i="21" s="1"/>
  <c r="F23" i="21"/>
  <c r="J23" i="21"/>
  <c r="J21" i="21" s="1"/>
  <c r="M23" i="21"/>
  <c r="H27" i="5"/>
  <c r="H28" i="5" s="1"/>
  <c r="H29" i="5"/>
  <c r="M5" i="5" l="1"/>
  <c r="B29" i="21" a="1"/>
  <c r="B29" i="21" s="1"/>
  <c r="B27" i="21" a="1"/>
  <c r="B27" i="21" s="1"/>
  <c r="H35" i="5"/>
  <c r="M24" i="21"/>
  <c r="R23" i="21"/>
  <c r="R24" i="21" s="1"/>
  <c r="I26" i="21"/>
  <c r="U12" i="21" s="1"/>
  <c r="G11" i="20"/>
  <c r="G22" i="20" s="1"/>
  <c r="T7" i="5" s="1"/>
  <c r="X13" i="21" a="1"/>
  <c r="X13" i="21" s="1"/>
  <c r="U25" i="21" a="1"/>
  <c r="U25" i="21" s="1"/>
  <c r="V13" i="21" l="1"/>
  <c r="U7" i="21"/>
  <c r="U15" i="21"/>
  <c r="K26" i="21"/>
  <c r="R26" i="21"/>
  <c r="R29" i="21" s="1"/>
  <c r="Q29" i="21" s="1"/>
  <c r="I27" i="21"/>
  <c r="I29" i="21"/>
  <c r="T15" i="5"/>
  <c r="X16" i="21" s="1" a="1"/>
  <c r="X16" i="21" s="1"/>
  <c r="B28" i="21" a="1"/>
  <c r="B28" i="21" s="1"/>
  <c r="V7" i="21" l="1"/>
  <c r="K27" i="21"/>
  <c r="I35" i="21"/>
  <c r="K29" i="21"/>
  <c r="N5" i="21"/>
  <c r="V16" i="21"/>
  <c r="Q26" i="21"/>
  <c r="I28" i="21"/>
  <c r="K28" i="21" s="1"/>
  <c r="X5" i="21" a="1"/>
  <c r="X5" i="21" s="1"/>
  <c r="V5" i="2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<sst xmlns="http://schemas.openxmlformats.org/spreadsheetml/2006/main" count="238" uniqueCount="124">
  <si>
    <t>Projekta dati</t>
  </si>
  <si>
    <t>izvēlnes šūnas, kuras jāaizpilda obligāti</t>
  </si>
  <si>
    <r>
      <t xml:space="preserve">Daļiņu PM2,5 emisijas samazinājums (daļiņu PM2,5 emisiju samazinājums, īstenojot projektu (t/gadā)).
</t>
    </r>
    <r>
      <rPr>
        <b/>
        <sz val="11"/>
        <color rgb="FFFF0000"/>
        <rFont val="Times New Roman"/>
        <family val="1"/>
        <charset val="186"/>
      </rPr>
      <t>NB!</t>
    </r>
    <r>
      <rPr>
        <b/>
        <sz val="11"/>
        <color theme="1"/>
        <rFont val="Times New Roman"/>
        <family val="1"/>
        <charset val="186"/>
      </rPr>
      <t xml:space="preserve"> Rezultātu norāda projekta iesniegumā!</t>
    </r>
    <r>
      <rPr>
        <sz val="11"/>
        <color theme="1"/>
        <rFont val="Times New Roman"/>
        <family val="1"/>
        <charset val="186"/>
      </rPr>
      <t xml:space="preserve">
</t>
    </r>
    <r>
      <rPr>
        <b/>
        <sz val="12"/>
        <color theme="1"/>
        <rFont val="Times New Roman"/>
        <family val="1"/>
        <charset val="186"/>
      </rPr>
      <t>↓</t>
    </r>
  </si>
  <si>
    <t>šūnas, kuras jāaizpilda obligāti</t>
  </si>
  <si>
    <t>izvēlnes šūnas, kuras jāaizpilda ja nepieciešams</t>
  </si>
  <si>
    <t>šūnas, kuras jāaizpilda, ja nepieciešams</t>
  </si>
  <si>
    <t>Projekta ēkas vai dzīvokļa adrese ►►►</t>
  </si>
  <si>
    <t>Plānotās iekārtas max jauda (indikatīvi)►</t>
  </si>
  <si>
    <t>kW</t>
  </si>
  <si>
    <t>Projekta ēkas (dzīvojamās ēkas) vai dzīvokļa apkurināmā platība ►►►</t>
  </si>
  <si>
    <r>
      <t>m</t>
    </r>
    <r>
      <rPr>
        <vertAlign val="superscript"/>
        <sz val="11"/>
        <color theme="1"/>
        <rFont val="Times New Roman"/>
        <family val="1"/>
        <charset val="186"/>
      </rPr>
      <t>2</t>
    </r>
  </si>
  <si>
    <t>Vidējā iekštelpu temperatūra apkures periodā ►►►</t>
  </si>
  <si>
    <t>*C</t>
  </si>
  <si>
    <t>Plānoto saules paneļu jauda (min 1.0 - max 11.1) (ja attiecināms) ►►►</t>
  </si>
  <si>
    <t>Esošās iekārtas nominālā jauda (ja zināms) ►►►</t>
  </si>
  <si>
    <t>Pēdējā kalendārā gada elektrības patēriņš (attiecināms, ja plāno saules paneļus)►►►</t>
  </si>
  <si>
    <t>kWh/gadā</t>
  </si>
  <si>
    <t>Kurināmais, 1. veids (obligāti)</t>
  </si>
  <si>
    <r>
      <t xml:space="preserve">Kurināmais, 2. veids </t>
    </r>
    <r>
      <rPr>
        <sz val="11"/>
        <color rgb="FFFF0000"/>
        <rFont val="Times New Roman"/>
        <family val="1"/>
        <charset val="186"/>
      </rPr>
      <t>(attiecināms, ja ietekme &gt;30%)</t>
    </r>
  </si>
  <si>
    <r>
      <rPr>
        <sz val="9"/>
        <color rgb="FF000000"/>
        <rFont val="Times New Roman"/>
        <family val="1"/>
      </rPr>
      <t xml:space="preserve">Jauna siltumsūkņa elektrības patēriņa pieņēmums 
pie minimālās efektivitātes koeficienta 3.0 ►►►
</t>
    </r>
    <r>
      <rPr>
        <sz val="8"/>
        <color rgb="FF000000"/>
        <rFont val="Times New Roman"/>
        <family val="1"/>
      </rPr>
      <t xml:space="preserve">(sezonālais efektivitātes koeficients)
</t>
    </r>
    <r>
      <rPr>
        <sz val="8"/>
        <color rgb="FFFF0000"/>
        <rFont val="Times New Roman"/>
        <family val="1"/>
      </rPr>
      <t xml:space="preserve">NB! </t>
    </r>
    <r>
      <rPr>
        <sz val="8"/>
        <color rgb="FF000000"/>
        <rFont val="Times New Roman"/>
        <family val="1"/>
      </rPr>
      <t>šūnu aizpilda manuāli, ja izmantotie dati ir dokumentāli pamatoti)</t>
    </r>
  </si>
  <si>
    <t>Izvēlnē norāda kurināmo►</t>
  </si>
  <si>
    <t>Malka (55% mitrums)</t>
  </si>
  <si>
    <t>Ogles</t>
  </si>
  <si>
    <t>Izvēlnē norāda iekārtas veidu►</t>
  </si>
  <si>
    <t>Koksnes biomasas apkures katls (granulas)</t>
  </si>
  <si>
    <t>Ogles izmantojošās apkures iekārtas</t>
  </si>
  <si>
    <t>Izvēlnē norāda kurināmā izskaitīto mērvienību►</t>
  </si>
  <si>
    <t>cieš.m3</t>
  </si>
  <si>
    <t>ber.m3</t>
  </si>
  <si>
    <r>
      <rPr>
        <b/>
        <sz val="9"/>
        <color rgb="FF000000"/>
        <rFont val="Times New Roman"/>
        <family val="1"/>
      </rPr>
      <t xml:space="preserve">Pašpatēriņa īpatsvars </t>
    </r>
    <r>
      <rPr>
        <sz val="9"/>
        <color rgb="FF000000"/>
        <rFont val="Times New Roman"/>
        <family val="1"/>
      </rPr>
      <t xml:space="preserve">(jābūt virs 80%)
</t>
    </r>
    <r>
      <rPr>
        <sz val="8"/>
        <color rgb="FFFF0000"/>
        <rFont val="Times New Roman"/>
        <family val="1"/>
      </rPr>
      <t>NB! Aptuvens aprēķins, iesniedzējs ir atbildīgs par MK noteikumu 44.punkta nosacījumu ievērošanu! 
Aicinām konsultēties ar nozares speciālistiem.</t>
    </r>
  </si>
  <si>
    <t>Norāda kurināmā patēriņu uzskaitītajās mērvienībās ►</t>
  </si>
  <si>
    <t>%</t>
  </si>
  <si>
    <t>Vidējais naturālā kurināmā patēriņš gadā►</t>
  </si>
  <si>
    <r>
      <t xml:space="preserve">Kurināmā zemākais sadegšanas siltums►
</t>
    </r>
    <r>
      <rPr>
        <sz val="8"/>
        <color rgb="FFFF3300"/>
        <rFont val="Times New Roman"/>
        <family val="1"/>
        <charset val="186"/>
      </rPr>
      <t>NB!</t>
    </r>
    <r>
      <rPr>
        <sz val="8"/>
        <rFont val="Times New Roman"/>
        <family val="1"/>
        <charset val="186"/>
      </rPr>
      <t xml:space="preserve"> šūnu aizpilda manuāli, ja izmantotie dati ir dokumentāli pamatoti</t>
    </r>
  </si>
  <si>
    <r>
      <t xml:space="preserve">Iekārtas lietderības koeficients►
</t>
    </r>
    <r>
      <rPr>
        <sz val="8"/>
        <color rgb="FFFF3300"/>
        <rFont val="Times New Roman"/>
        <family val="1"/>
        <charset val="186"/>
      </rPr>
      <t>NB!</t>
    </r>
    <r>
      <rPr>
        <sz val="8"/>
        <rFont val="Times New Roman"/>
        <family val="1"/>
        <charset val="186"/>
      </rPr>
      <t xml:space="preserve"> šūnu aizpilda manuāli, ja lietderības koeficients ir dokumentāli pamatojams</t>
    </r>
  </si>
  <si>
    <t>Mērvienības konversija►</t>
  </si>
  <si>
    <t>emisijas faktors (g/MWh)</t>
  </si>
  <si>
    <t>PM2,5 daļiņas (t/gadā)</t>
  </si>
  <si>
    <t>Apkures patēriņš►</t>
  </si>
  <si>
    <t>MWh gadā</t>
  </si>
  <si>
    <t>Esošā situācija</t>
  </si>
  <si>
    <t>Plānotā situācija</t>
  </si>
  <si>
    <t>Projekta īstenošanas dzīvojamās mājas vai dzīvokļa apkures patēriņš►</t>
  </si>
  <si>
    <r>
      <rPr>
        <sz val="10"/>
        <color rgb="FF000000"/>
        <rFont val="Times New Roman"/>
        <family val="1"/>
      </rPr>
      <t xml:space="preserve">Projekta īstenošanas dzīvojamās mājas  vai dzīvokļa apkures patēriņš ►
</t>
    </r>
    <r>
      <rPr>
        <sz val="10"/>
        <color rgb="FFFF3300"/>
        <rFont val="Times New Roman"/>
        <family val="1"/>
      </rPr>
      <t>NB!</t>
    </r>
    <r>
      <rPr>
        <sz val="10"/>
        <color rgb="FF000000"/>
        <rFont val="Times New Roman"/>
        <family val="1"/>
      </rPr>
      <t xml:space="preserve"> Gadījumā, ja  nav pielīdzināms esošajai situācijai, tad  pamatotu aprēķinu veic sertificēts energoauditors. Sertificētā energoauditora aprēķinu pievieno projekta iesniegumam</t>
    </r>
  </si>
  <si>
    <t>skatīt piezīmi, ja plānotā situācija atšķiras no esošās</t>
  </si>
  <si>
    <t>Projekta īstenošanas dzīvojamās mājas vai dzīvokļa īpatnējais apkures patēriņš►</t>
  </si>
  <si>
    <r>
      <t>kWh/m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 xml:space="preserve"> gadā</t>
    </r>
  </si>
  <si>
    <r>
      <rPr>
        <sz val="10"/>
        <color rgb="FFFF0000"/>
        <rFont val="Times New Roman"/>
        <family val="1"/>
        <charset val="186"/>
      </rPr>
      <t>NB!</t>
    </r>
    <r>
      <rPr>
        <sz val="10"/>
        <color theme="1"/>
        <rFont val="Times New Roman"/>
        <family val="1"/>
        <charset val="186"/>
      </rPr>
      <t xml:space="preserve"> Šūnā izvēlas MK noteikumu 42.1, 42.2., 42.3., 42.4. apakšpunktā minēto iekārtu ►</t>
    </r>
  </si>
  <si>
    <t>42.1. tāda koksnes biomasas apkures katla iegāde, kas piemērots granulu kurināmajam</t>
  </si>
  <si>
    <r>
      <t xml:space="preserve">Dzīvojamā māja atbilst apkures patēriņa E klasei vai efektīvākai klasei ►
</t>
    </r>
    <r>
      <rPr>
        <sz val="10"/>
        <color rgb="FFFF3300"/>
        <rFont val="Times New Roman"/>
        <family val="1"/>
        <charset val="186"/>
      </rPr>
      <t>NB!</t>
    </r>
    <r>
      <rPr>
        <sz val="10"/>
        <rFont val="Times New Roman"/>
        <family val="1"/>
        <charset val="186"/>
      </rPr>
      <t xml:space="preserve"> Informācija šūnā ir attiecināma tikai, ja dati ir par visu dzīvojamo māju</t>
    </r>
  </si>
  <si>
    <t>emisijas faktors ►</t>
  </si>
  <si>
    <t>g/MWh</t>
  </si>
  <si>
    <t>Daļiņu PM2,5 emisijas pirms projekta īstenošanas ►</t>
  </si>
  <si>
    <t>t/gadā</t>
  </si>
  <si>
    <t>Daļiņu PM2,5 emisijas pēc projekta īstenošanas ►</t>
  </si>
  <si>
    <t>KK 4.3.punkti</t>
  </si>
  <si>
    <r>
      <rPr>
        <sz val="10"/>
        <color rgb="FFFF0000"/>
        <rFont val="Times New Roman"/>
        <family val="1"/>
        <charset val="186"/>
      </rPr>
      <t>NB!</t>
    </r>
    <r>
      <rPr>
        <sz val="10"/>
        <color theme="1"/>
        <rFont val="Times New Roman"/>
        <family val="1"/>
        <charset val="186"/>
      </rPr>
      <t xml:space="preserve"> Šūnā izvēlas MK noteikumu 42. apakšpunktā minēto iekārtu ►</t>
    </r>
  </si>
  <si>
    <t>Saskaņot ar Word 4.piezīmi</t>
  </si>
  <si>
    <r>
      <t>PM</t>
    </r>
    <r>
      <rPr>
        <vertAlign val="subscript"/>
        <sz val="11"/>
        <color theme="1"/>
        <rFont val="Times New Roman"/>
        <family val="1"/>
        <charset val="186"/>
      </rPr>
      <t>2,5</t>
    </r>
  </si>
  <si>
    <t>Lietderības koef</t>
  </si>
  <si>
    <t>malka</t>
  </si>
  <si>
    <t>Koksnes biomasas kamīns (atvērtais)</t>
  </si>
  <si>
    <t>Koksnes biomasas krāsns (parastā, izstarojošā, piemēram, virtuves plīts)</t>
  </si>
  <si>
    <t>m2</t>
  </si>
  <si>
    <t>Koksnes biomasas krāsns (augstas efektivitātes parastā, izstarojošā, piemēram, slēgtā kamīnkrāsns)</t>
  </si>
  <si>
    <t>Koksnes biomasas krāsns (mūra, akumulējošā, piemēram, podiņkrāsns)</t>
  </si>
  <si>
    <t>Koksnes biomasas apkures katls (malka, koksnes atkritumi, briketes)</t>
  </si>
  <si>
    <t>42.2. siltumsūkņa (zeme–ūdens, ūdens–ūdens vai gaiss–ūdens) iegāde</t>
  </si>
  <si>
    <t>42.3. pieslēguma centralizētai siltumapgādes sistēmai projektēšana un izveidošana</t>
  </si>
  <si>
    <t>42.4. siltumsūkņa (gaiss–gaiss) iegāde un uzstādīšana</t>
  </si>
  <si>
    <t>Kūdras kurināmā apkures iekārtas</t>
  </si>
  <si>
    <t>Ja iekārta nav vizuāli idenficējama vai nav augstāk minēta</t>
  </si>
  <si>
    <t>Kurināmais</t>
  </si>
  <si>
    <t>zemākā siltumspēja</t>
  </si>
  <si>
    <t>Malka (10% mitrums)</t>
  </si>
  <si>
    <t>MWh/cieš. m3</t>
  </si>
  <si>
    <t>Malka (20% mitrums)</t>
  </si>
  <si>
    <t>MWh/cieš.  m3</t>
  </si>
  <si>
    <t>Malka (30% mitrums)</t>
  </si>
  <si>
    <t>t</t>
  </si>
  <si>
    <t>Malka (40% mitrums)</t>
  </si>
  <si>
    <t>Malka (51% mitrums)</t>
  </si>
  <si>
    <t>Koksnes atlikumi</t>
  </si>
  <si>
    <t>MWh/ber.m3</t>
  </si>
  <si>
    <t>Kurināmā šķelda</t>
  </si>
  <si>
    <t>Koksnes briketes</t>
  </si>
  <si>
    <t>MWh/t</t>
  </si>
  <si>
    <t>Koksnes granulas</t>
  </si>
  <si>
    <t xml:space="preserve">Kūdra </t>
  </si>
  <si>
    <t>Kūdras briketes</t>
  </si>
  <si>
    <t>MWh/cieš.m3</t>
  </si>
  <si>
    <t>Elektroenerģija</t>
  </si>
  <si>
    <t>Centralizētā siltumapgāde</t>
  </si>
  <si>
    <t>Dzīvoklis Nr.</t>
  </si>
  <si>
    <t>Kopā:</t>
  </si>
  <si>
    <t>Iekārtas veids</t>
  </si>
  <si>
    <t>kWh</t>
  </si>
  <si>
    <t>Kurināmā mērvienība</t>
  </si>
  <si>
    <t>Uzskaitītais patēriņš gadā</t>
  </si>
  <si>
    <t>Kurināmā ZSS</t>
  </si>
  <si>
    <t>SCOP</t>
  </si>
  <si>
    <t>konv. koef</t>
  </si>
  <si>
    <t>Enerģijas patēriņš apkurei, kWh</t>
  </si>
  <si>
    <t>Siltumenerģija</t>
  </si>
  <si>
    <t>Siltumsūknis, uzskaitīta elektroenerģija</t>
  </si>
  <si>
    <t>Siltumsūknis, uzskaitīta siltumenerģija</t>
  </si>
  <si>
    <t>MKN 23.p</t>
  </si>
  <si>
    <t>Īpatnējais, kWh/m2</t>
  </si>
  <si>
    <t>Dabasgāze</t>
  </si>
  <si>
    <t>Dabasgāzes kondensācijas katls</t>
  </si>
  <si>
    <t>Dabasgāzes atmosfēriskais katls</t>
  </si>
  <si>
    <t>MWh/m3</t>
  </si>
  <si>
    <t>m3</t>
  </si>
  <si>
    <t>Dzīvojamā māja atbilst apkures patēriņa E klasei vai efektīvākai klasei atbilstoši MK noteikumu Nr.222 3.pielikumam (MK noteikumu 23.4.apakšpunkts)</t>
  </si>
  <si>
    <t>Dzīvojamās mājas nepieciešamā siltumapgādes nominālā jauda (MK noteikumu 23.5.apakšpunkts)</t>
  </si>
  <si>
    <t>DAUDZDZĪVOKĻU MĀJAS ATBILSTĪBAS PĀRBAUDE MK NOTEIKUMU 23.p.</t>
  </si>
  <si>
    <r>
      <t xml:space="preserve">Sadaļā (izklājlapā) pārbauda dzīvojamās mājas atbilstību MK noteikumu 23.4. un 23.5. apakšpunktu prasībām. </t>
    </r>
    <r>
      <rPr>
        <u/>
        <sz val="11"/>
        <color theme="1"/>
        <rFont val="Calibri"/>
        <family val="2"/>
        <scheme val="minor"/>
      </rPr>
      <t>Norāda informāciju par visiem dzīvokļiem</t>
    </r>
    <r>
      <rPr>
        <sz val="11"/>
        <color theme="1"/>
        <rFont val="Calibri"/>
        <family val="2"/>
        <charset val="186"/>
        <scheme val="minor"/>
      </rPr>
      <t>, t.i., gan par tiem, kas piedalās projektā, gan par tiem, kas nepiedalās.</t>
    </r>
  </si>
  <si>
    <r>
      <t>Platība, m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</si>
  <si>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Sadaļu (izklājlapu) aizpilda tikai, ja Projektu īsteno divu dzīvokļu mājās (kods 11210101) (MK noteikumu 18.2.apakšpunkts) vai triju vai vairāku dzīvokļu mājās (kods 11220101; 11220102; 11220103) (MK noteikumu 18.3.apakšpunkts), </t>
    </r>
    <r>
      <rPr>
        <b/>
        <u/>
        <sz val="11"/>
        <color theme="1"/>
        <rFont val="Calibri"/>
        <family val="2"/>
        <scheme val="minor"/>
      </rPr>
      <t>BET projekta ietvaros netiek aptverti visi dzīvojamās mājas dzīvokļu īpašumi</t>
    </r>
    <r>
      <rPr>
        <sz val="11"/>
        <color theme="1"/>
        <rFont val="Calibri"/>
        <family val="2"/>
        <charset val="186"/>
        <scheme val="minor"/>
      </rPr>
      <t xml:space="preserve"> (MK noteikumu 19.punkts)</t>
    </r>
  </si>
  <si>
    <r>
      <rPr>
        <b/>
        <sz val="11"/>
        <color theme="1"/>
        <rFont val="Calibri"/>
        <family val="2"/>
        <scheme val="minor"/>
      </rPr>
      <t>!NB</t>
    </r>
    <r>
      <rPr>
        <sz val="11"/>
        <color theme="1"/>
        <rFont val="Calibri"/>
        <family val="2"/>
        <charset val="186"/>
        <scheme val="minor"/>
      </rPr>
      <t xml:space="preserve"> Otru iekārtu un kurināmo norāda, ja ietekme lielāka par 30%. Ja </t>
    </r>
    <r>
      <rPr>
        <u/>
        <sz val="11"/>
        <color theme="1"/>
        <rFont val="Calibri"/>
        <family val="2"/>
        <scheme val="minor"/>
      </rPr>
      <t>nav attiecināms otrs apkures veids</t>
    </r>
    <r>
      <rPr>
        <sz val="11"/>
        <color theme="1"/>
        <rFont val="Calibri"/>
        <family val="2"/>
        <charset val="186"/>
        <scheme val="minor"/>
      </rPr>
      <t xml:space="preserve"> dzīvoklī, kolonnā "Uzskaitītais patēriņš gadā" </t>
    </r>
    <r>
      <rPr>
        <u/>
        <sz val="11"/>
        <color theme="1"/>
        <rFont val="Calibri"/>
        <family val="2"/>
        <scheme val="minor"/>
      </rPr>
      <t>norāda 0</t>
    </r>
    <r>
      <rPr>
        <sz val="11"/>
        <color theme="1"/>
        <rFont val="Calibri"/>
        <family val="2"/>
        <charset val="186"/>
        <scheme val="minor"/>
      </rPr>
      <t>.</t>
    </r>
  </si>
  <si>
    <t>Kadastra apz. (ja attiecināms)</t>
  </si>
  <si>
    <t xml:space="preserve">Vispirms aizpilda izklājlapu "Projekta dati". Sadaļā katram dzīvojamās mājas dzīvoklim izvēlās tā esošo apkures iekārtu (avotu), un attiecīgo kurināmo (enerģijas avotu) un mērvienību. Norāda katra kurināmā gada patēriņu. </t>
  </si>
  <si>
    <r>
      <rPr>
        <u/>
        <sz val="11"/>
        <color theme="1"/>
        <rFont val="Calibri"/>
        <family val="2"/>
        <scheme val="minor"/>
      </rPr>
      <t>Vispirms aizpilda izklājlapu "Projekta dati"</t>
    </r>
    <r>
      <rPr>
        <sz val="11"/>
        <color theme="1"/>
        <rFont val="Calibri"/>
        <family val="2"/>
        <charset val="186"/>
        <scheme val="minor"/>
      </rPr>
      <t xml:space="preserve">. </t>
    </r>
  </si>
  <si>
    <t>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</si>
</sst>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5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b/>
      <sz val="18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1"/>
      <color theme="0" tint="-0.34998626667073579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14"/>
      <color theme="0"/>
      <name val="Times New Roman"/>
      <family val="1"/>
      <charset val="186"/>
    </font>
    <font>
      <b/>
      <sz val="26"/>
      <color rgb="FF000000"/>
      <name val="Times New Roman"/>
      <family val="1"/>
      <charset val="186"/>
    </font>
    <font>
      <sz val="8"/>
      <color rgb="FFFF3300"/>
      <name val="Times New Roman"/>
      <family val="1"/>
      <charset val="186"/>
    </font>
    <font>
      <sz val="10"/>
      <color rgb="FFFF3300"/>
      <name val="Times New Roman"/>
      <family val="1"/>
      <charset val="186"/>
    </font>
    <font>
      <sz val="10"/>
      <color rgb="FF000000"/>
      <name val="Times New Roman"/>
      <family val="1"/>
    </font>
    <font>
      <sz val="10"/>
      <color rgb="FFFF3300"/>
      <name val="Times New Roman"/>
      <family val="1"/>
    </font>
    <font>
      <sz val="10"/>
      <name val="Times New Roman"/>
      <family val="1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b/>
      <sz val="8"/>
      <color theme="1"/>
      <name val="Times New Roman"/>
      <family val="1"/>
      <charset val="186"/>
    </font>
    <font>
      <b/>
      <sz val="8"/>
      <color theme="1"/>
      <name val="Times New Roman"/>
      <family val="1"/>
    </font>
    <font>
      <b/>
      <sz val="9"/>
      <color rgb="FF000000"/>
      <name val="Times New Roman"/>
      <family val="1"/>
    </font>
    <font>
      <sz val="11"/>
      <color theme="0"/>
      <name val="Calibri"/>
      <family val="2"/>
      <charset val="186"/>
      <scheme val="minor"/>
    </font>
    <font>
      <b/>
      <sz val="8"/>
      <color rgb="FF000000"/>
      <name val="Times New Roman"/>
      <family val="1"/>
      <charset val="186"/>
    </font>
    <font>
      <sz val="10"/>
      <color theme="0"/>
      <name val="Times New Roman"/>
      <family val="1"/>
      <charset val="186"/>
    </font>
    <font>
      <sz val="11"/>
      <color theme="0"/>
      <name val="Times New Roman"/>
      <family val="1"/>
      <charset val="186"/>
    </font>
    <font>
      <sz val="12"/>
      <color theme="0"/>
      <name val="Times New Roman"/>
      <family val="1"/>
      <charset val="186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Times New Roman"/>
      <family val="1"/>
      <charset val="186"/>
    </font>
    <font>
      <b/>
      <sz val="14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E1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6" fillId="0" borderId="0"/>
    <xf numFmtId="0" fontId="5" fillId="0" borderId="0"/>
    <xf numFmtId="0" fontId="7" fillId="0" borderId="0"/>
  </cellStyleXfs>
  <cellXfs count="337">
    <xf numFmtId="0" fontId="0" fillId="0" borderId="0" xfId="0"/>
    <xf numFmtId="0" fontId="10" fillId="0" borderId="0" xfId="0" applyFont="1"/>
    <xf numFmtId="0" fontId="9" fillId="3" borderId="0" xfId="0" applyFont="1" applyFill="1"/>
    <xf numFmtId="0" fontId="8" fillId="3" borderId="0" xfId="0" applyFont="1" applyFill="1"/>
    <xf numFmtId="0" fontId="10" fillId="3" borderId="0" xfId="0" applyFont="1" applyFill="1"/>
    <xf numFmtId="165" fontId="15" fillId="0" borderId="0" xfId="0" applyNumberFormat="1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/>
    </xf>
    <xf numFmtId="0" fontId="11" fillId="0" borderId="0" xfId="0" applyFont="1" applyAlignment="1" applyProtection="1">
      <alignment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4" fontId="11" fillId="0" borderId="0" xfId="0" applyNumberFormat="1" applyFont="1" applyAlignment="1" applyProtection="1">
      <alignment horizontal="center" vertical="center" wrapText="1"/>
      <protection locked="0"/>
    </xf>
    <xf numFmtId="165" fontId="11" fillId="0" borderId="0" xfId="0" applyNumberFormat="1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165" fontId="15" fillId="0" borderId="0" xfId="0" applyNumberFormat="1" applyFont="1" applyAlignment="1" applyProtection="1">
      <alignment wrapText="1"/>
      <protection locked="0"/>
    </xf>
    <xf numFmtId="0" fontId="19" fillId="2" borderId="13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1" fontId="11" fillId="0" borderId="4" xfId="0" applyNumberFormat="1" applyFont="1" applyBorder="1" applyAlignment="1" applyProtection="1">
      <alignment horizontal="center" vertical="center" wrapText="1"/>
      <protection locked="0"/>
    </xf>
    <xf numFmtId="0" fontId="10" fillId="8" borderId="0" xfId="0" applyFont="1" applyFill="1"/>
    <xf numFmtId="0" fontId="9" fillId="8" borderId="0" xfId="0" applyFont="1" applyFill="1"/>
    <xf numFmtId="0" fontId="8" fillId="8" borderId="0" xfId="0" applyFont="1" applyFill="1"/>
    <xf numFmtId="0" fontId="16" fillId="8" borderId="0" xfId="0" applyFont="1" applyFill="1"/>
    <xf numFmtId="0" fontId="16" fillId="8" borderId="0" xfId="0" applyFont="1" applyFill="1" applyAlignment="1">
      <alignment vertical="top"/>
    </xf>
    <xf numFmtId="0" fontId="19" fillId="10" borderId="4" xfId="0" applyFont="1" applyFill="1" applyBorder="1" applyAlignment="1" applyProtection="1">
      <alignment horizontal="center" vertical="center" wrapText="1"/>
      <protection locked="0"/>
    </xf>
    <xf numFmtId="0" fontId="19" fillId="10" borderId="13" xfId="0" applyFont="1" applyFill="1" applyBorder="1" applyAlignment="1" applyProtection="1">
      <alignment horizontal="center" vertical="center" wrapText="1"/>
      <protection locked="0"/>
    </xf>
    <xf numFmtId="0" fontId="11" fillId="3" borderId="5" xfId="0" applyFont="1" applyFill="1" applyBorder="1" applyAlignment="1" applyProtection="1">
      <alignment vertical="center" wrapText="1"/>
      <protection locked="0"/>
    </xf>
    <xf numFmtId="0" fontId="19" fillId="3" borderId="0" xfId="0" applyFont="1" applyFill="1" applyAlignment="1" applyProtection="1">
      <alignment horizontal="center" vertical="center" wrapText="1"/>
      <protection locked="0"/>
    </xf>
    <xf numFmtId="1" fontId="11" fillId="14" borderId="0" xfId="0" applyNumberFormat="1" applyFont="1" applyFill="1" applyAlignment="1" applyProtection="1">
      <alignment horizontal="center" vertical="center" wrapText="1"/>
      <protection locked="0"/>
    </xf>
    <xf numFmtId="0" fontId="11" fillId="14" borderId="5" xfId="0" applyFont="1" applyFill="1" applyBorder="1" applyAlignment="1" applyProtection="1">
      <alignment horizontal="center" vertical="center" wrapText="1"/>
      <protection locked="0"/>
    </xf>
    <xf numFmtId="0" fontId="11" fillId="14" borderId="0" xfId="0" applyFont="1" applyFill="1" applyAlignment="1" applyProtection="1">
      <alignment horizontal="center" vertical="center" wrapText="1"/>
      <protection locked="0"/>
    </xf>
    <xf numFmtId="0" fontId="11" fillId="14" borderId="0" xfId="0" applyFont="1" applyFill="1" applyAlignment="1" applyProtection="1">
      <alignment wrapText="1"/>
      <protection locked="0"/>
    </xf>
    <xf numFmtId="0" fontId="48" fillId="0" borderId="0" xfId="0" applyFont="1" applyAlignment="1" applyProtection="1">
      <alignment wrapText="1"/>
      <protection locked="0"/>
    </xf>
    <xf numFmtId="0" fontId="48" fillId="3" borderId="0" xfId="0" applyFont="1" applyFill="1" applyAlignment="1" applyProtection="1">
      <alignment wrapText="1"/>
      <protection locked="0"/>
    </xf>
    <xf numFmtId="0" fontId="48" fillId="0" borderId="0" xfId="0" applyFont="1" applyAlignment="1" applyProtection="1">
      <alignment vertical="center" wrapText="1"/>
      <protection locked="0"/>
    </xf>
    <xf numFmtId="9" fontId="11" fillId="14" borderId="0" xfId="0" applyNumberFormat="1" applyFont="1" applyFill="1" applyAlignment="1" applyProtection="1">
      <alignment horizontal="center" vertical="top" wrapText="1"/>
      <protection locked="0"/>
    </xf>
    <xf numFmtId="0" fontId="15" fillId="2" borderId="4" xfId="0" applyFont="1" applyFill="1" applyBorder="1" applyAlignment="1" applyProtection="1">
      <alignment horizontal="right"/>
      <protection locked="0"/>
    </xf>
    <xf numFmtId="0" fontId="15" fillId="10" borderId="4" xfId="0" applyFont="1" applyFill="1" applyBorder="1" applyAlignment="1" applyProtection="1">
      <alignment horizontal="right"/>
      <protection locked="0"/>
    </xf>
    <xf numFmtId="9" fontId="16" fillId="0" borderId="0" xfId="1" applyFont="1" applyProtection="1"/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164" fontId="51" fillId="0" borderId="0" xfId="0" applyNumberFormat="1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52" fillId="0" borderId="13" xfId="0" applyFont="1" applyBorder="1" applyAlignment="1">
      <alignment horizontal="center"/>
    </xf>
    <xf numFmtId="0" fontId="51" fillId="0" borderId="13" xfId="0" applyFont="1" applyBorder="1" applyAlignment="1">
      <alignment horizontal="center"/>
    </xf>
    <xf numFmtId="0" fontId="53" fillId="0" borderId="4" xfId="0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51" fillId="0" borderId="4" xfId="0" applyFont="1" applyBorder="1" applyAlignment="1">
      <alignment horizontal="center" wrapText="1"/>
    </xf>
    <xf numFmtId="0" fontId="26" fillId="0" borderId="0" xfId="0" applyFont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3" fillId="7" borderId="17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165" fontId="15" fillId="0" borderId="0" xfId="0" applyNumberFormat="1" applyFont="1" applyAlignment="1">
      <alignment horizontal="left" wrapText="1"/>
    </xf>
    <xf numFmtId="165" fontId="15" fillId="0" borderId="0" xfId="0" applyNumberFormat="1" applyFont="1" applyAlignment="1">
      <alignment wrapText="1"/>
    </xf>
    <xf numFmtId="0" fontId="11" fillId="0" borderId="0" xfId="0" applyFont="1" applyAlignment="1">
      <alignment vertical="center" wrapText="1"/>
    </xf>
    <xf numFmtId="165" fontId="11" fillId="0" borderId="0" xfId="0" applyNumberFormat="1" applyFont="1" applyAlignment="1">
      <alignment vertical="center" wrapText="1"/>
    </xf>
    <xf numFmtId="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6" fontId="10" fillId="0" borderId="4" xfId="0" applyNumberFormat="1" applyFont="1" applyBorder="1" applyAlignment="1">
      <alignment horizontal="center"/>
    </xf>
    <xf numFmtId="0" fontId="28" fillId="0" borderId="0" xfId="0" applyFont="1"/>
    <xf numFmtId="0" fontId="8" fillId="0" borderId="0" xfId="0" applyFont="1"/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wrapText="1"/>
      <protection locked="0"/>
    </xf>
    <xf numFmtId="0" fontId="10" fillId="0" borderId="4" xfId="0" applyFont="1" applyBorder="1" applyProtection="1">
      <protection locked="0"/>
    </xf>
    <xf numFmtId="9" fontId="13" fillId="0" borderId="4" xfId="0" applyNumberFormat="1" applyFont="1" applyBorder="1" applyAlignment="1" applyProtection="1">
      <alignment horizontal="center"/>
      <protection locked="0"/>
    </xf>
    <xf numFmtId="0" fontId="10" fillId="5" borderId="4" xfId="0" applyFont="1" applyFill="1" applyBorder="1" applyAlignment="1" applyProtection="1">
      <alignment wrapText="1"/>
      <protection locked="0"/>
    </xf>
    <xf numFmtId="9" fontId="16" fillId="0" borderId="4" xfId="0" applyNumberFormat="1" applyFont="1" applyBorder="1" applyAlignment="1" applyProtection="1">
      <alignment horizontal="center"/>
      <protection locked="0"/>
    </xf>
    <xf numFmtId="0" fontId="10" fillId="5" borderId="4" xfId="0" applyFont="1" applyFill="1" applyBorder="1" applyProtection="1">
      <protection locked="0"/>
    </xf>
    <xf numFmtId="0" fontId="13" fillId="0" borderId="0" xfId="0" applyFont="1" applyAlignment="1" applyProtection="1">
      <alignment horizontal="right"/>
      <protection locked="0"/>
    </xf>
    <xf numFmtId="0" fontId="13" fillId="0" borderId="0" xfId="0" applyFont="1" applyProtection="1">
      <protection locked="0"/>
    </xf>
    <xf numFmtId="0" fontId="19" fillId="3" borderId="0" xfId="0" applyFont="1" applyFill="1" applyProtection="1">
      <protection locked="0"/>
    </xf>
    <xf numFmtId="164" fontId="10" fillId="0" borderId="0" xfId="0" applyNumberFormat="1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9" fillId="3" borderId="0" xfId="0" applyFont="1" applyFill="1" applyProtection="1">
      <protection locked="0"/>
    </xf>
    <xf numFmtId="0" fontId="8" fillId="3" borderId="0" xfId="0" applyFont="1" applyFill="1" applyProtection="1">
      <protection locked="0"/>
    </xf>
    <xf numFmtId="0" fontId="10" fillId="0" borderId="1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right" wrapText="1"/>
      <protection locked="0"/>
    </xf>
    <xf numFmtId="0" fontId="10" fillId="0" borderId="4" xfId="0" applyFont="1" applyBorder="1" applyAlignment="1" applyProtection="1">
      <alignment horizontal="right"/>
      <protection locked="0"/>
    </xf>
    <xf numFmtId="0" fontId="10" fillId="8" borderId="0" xfId="0" applyFont="1" applyFill="1" applyProtection="1">
      <protection locked="0"/>
    </xf>
    <xf numFmtId="0" fontId="16" fillId="8" borderId="0" xfId="0" applyFont="1" applyFill="1" applyProtection="1">
      <protection locked="0"/>
    </xf>
    <xf numFmtId="0" fontId="16" fillId="8" borderId="0" xfId="0" applyFont="1" applyFill="1" applyAlignment="1" applyProtection="1">
      <alignment vertical="top"/>
      <protection locked="0"/>
    </xf>
    <xf numFmtId="0" fontId="32" fillId="0" borderId="6" xfId="0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9" fillId="8" borderId="0" xfId="0" applyFont="1" applyFill="1" applyProtection="1"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vertical="center"/>
      <protection locked="0"/>
    </xf>
    <xf numFmtId="0" fontId="50" fillId="3" borderId="0" xfId="0" applyFont="1" applyFill="1" applyProtection="1">
      <protection locked="0"/>
    </xf>
    <xf numFmtId="0" fontId="9" fillId="13" borderId="0" xfId="0" applyFont="1" applyFill="1" applyProtection="1">
      <protection locked="0"/>
    </xf>
    <xf numFmtId="0" fontId="8" fillId="8" borderId="0" xfId="0" applyFont="1" applyFill="1" applyProtection="1">
      <protection locked="0"/>
    </xf>
    <xf numFmtId="0" fontId="14" fillId="3" borderId="0" xfId="0" applyFont="1" applyFill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8" fillId="3" borderId="0" xfId="0" applyFont="1" applyFill="1" applyProtection="1">
      <protection locked="0"/>
    </xf>
    <xf numFmtId="0" fontId="13" fillId="0" borderId="12" xfId="0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23" fillId="7" borderId="17" xfId="0" applyFont="1" applyFill="1" applyBorder="1" applyAlignment="1" applyProtection="1">
      <alignment horizontal="center"/>
      <protection locked="0"/>
    </xf>
    <xf numFmtId="0" fontId="49" fillId="3" borderId="0" xfId="0" applyFont="1" applyFill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3" borderId="0" xfId="0" applyFont="1" applyFill="1" applyProtection="1">
      <protection locked="0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46" fillId="0" borderId="0" xfId="0" applyFont="1" applyProtection="1">
      <protection locked="0"/>
    </xf>
    <xf numFmtId="0" fontId="46" fillId="3" borderId="0" xfId="0" applyFont="1" applyFill="1" applyProtection="1">
      <protection locked="0"/>
    </xf>
    <xf numFmtId="0" fontId="0" fillId="11" borderId="4" xfId="0" applyFill="1" applyBorder="1" applyProtection="1">
      <protection locked="0"/>
    </xf>
    <xf numFmtId="2" fontId="50" fillId="3" borderId="0" xfId="0" applyNumberFormat="1" applyFont="1" applyFill="1" applyProtection="1">
      <protection locked="0"/>
    </xf>
    <xf numFmtId="166" fontId="10" fillId="0" borderId="4" xfId="0" applyNumberFormat="1" applyFont="1" applyBorder="1" applyAlignment="1" applyProtection="1">
      <alignment horizontal="center"/>
      <protection locked="0"/>
    </xf>
    <xf numFmtId="166" fontId="8" fillId="14" borderId="0" xfId="0" applyNumberFormat="1" applyFont="1" applyFill="1" applyAlignment="1" applyProtection="1">
      <alignment horizontal="center" wrapText="1"/>
      <protection locked="0"/>
    </xf>
    <xf numFmtId="9" fontId="16" fillId="0" borderId="0" xfId="1" applyFont="1" applyProtection="1">
      <protection locked="0"/>
    </xf>
    <xf numFmtId="0" fontId="10" fillId="14" borderId="0" xfId="0" applyFont="1" applyFill="1" applyAlignment="1" applyProtection="1">
      <alignment horizontal="center" vertical="top" wrapText="1"/>
      <protection locked="0"/>
    </xf>
    <xf numFmtId="0" fontId="50" fillId="8" borderId="0" xfId="0" applyFont="1" applyFill="1" applyProtection="1">
      <protection locked="0"/>
    </xf>
    <xf numFmtId="0" fontId="10" fillId="12" borderId="0" xfId="0" applyFont="1" applyFill="1" applyProtection="1">
      <protection locked="0"/>
    </xf>
    <xf numFmtId="0" fontId="11" fillId="13" borderId="0" xfId="0" applyFont="1" applyFill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37" fillId="0" borderId="0" xfId="0" applyFont="1" applyAlignment="1" applyProtection="1">
      <alignment horizontal="right" vertical="center"/>
      <protection locked="0"/>
    </xf>
    <xf numFmtId="0" fontId="28" fillId="0" borderId="0" xfId="0" applyFont="1" applyProtection="1">
      <protection locked="0"/>
    </xf>
    <xf numFmtId="0" fontId="11" fillId="13" borderId="0" xfId="0" applyFont="1" applyFill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8" fillId="13" borderId="0" xfId="0" applyFont="1" applyFill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13" borderId="0" xfId="0" applyFont="1" applyFill="1" applyProtection="1">
      <protection locked="0"/>
    </xf>
    <xf numFmtId="0" fontId="0" fillId="4" borderId="4" xfId="0" applyFill="1" applyBorder="1" applyProtection="1">
      <protection locked="0"/>
    </xf>
    <xf numFmtId="0" fontId="10" fillId="0" borderId="0" xfId="0" applyFont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wrapText="1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wrapText="1"/>
    </xf>
    <xf numFmtId="0" fontId="22" fillId="0" borderId="12" xfId="0" applyFont="1" applyBorder="1" applyAlignment="1">
      <alignment horizontal="right" wrapText="1"/>
    </xf>
    <xf numFmtId="0" fontId="21" fillId="0" borderId="0" xfId="0" applyFont="1" applyAlignment="1">
      <alignment horizontal="right" vertical="center" wrapText="1"/>
    </xf>
    <xf numFmtId="0" fontId="22" fillId="0" borderId="12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66" fontId="10" fillId="0" borderId="30" xfId="0" applyNumberFormat="1" applyFont="1" applyBorder="1" applyAlignment="1">
      <alignment horizontal="center" vertical="center"/>
    </xf>
    <xf numFmtId="166" fontId="10" fillId="0" borderId="3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6" fontId="10" fillId="0" borderId="34" xfId="0" applyNumberFormat="1" applyFont="1" applyBorder="1" applyAlignment="1">
      <alignment horizontal="center" vertical="center"/>
    </xf>
    <xf numFmtId="166" fontId="10" fillId="0" borderId="35" xfId="0" applyNumberFormat="1" applyFont="1" applyBorder="1" applyAlignment="1">
      <alignment horizontal="center" vertical="center"/>
    </xf>
    <xf numFmtId="164" fontId="29" fillId="0" borderId="30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31" fillId="9" borderId="32" xfId="0" applyFont="1" applyFill="1" applyBorder="1" applyAlignment="1">
      <alignment horizontal="center" vertical="center"/>
    </xf>
    <xf numFmtId="0" fontId="31" fillId="9" borderId="33" xfId="0" applyFont="1" applyFill="1" applyBorder="1" applyAlignment="1">
      <alignment horizontal="center" vertical="center"/>
    </xf>
    <xf numFmtId="0" fontId="10" fillId="8" borderId="28" xfId="0" applyFont="1" applyFill="1" applyBorder="1" applyAlignment="1">
      <alignment horizontal="center"/>
    </xf>
    <xf numFmtId="0" fontId="10" fillId="8" borderId="29" xfId="0" applyFont="1" applyFill="1" applyBorder="1" applyAlignment="1">
      <alignment horizontal="center"/>
    </xf>
    <xf numFmtId="0" fontId="30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6" fontId="10" fillId="0" borderId="2" xfId="0" applyNumberFormat="1" applyFont="1" applyBorder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166" fontId="10" fillId="0" borderId="20" xfId="0" applyNumberFormat="1" applyFont="1" applyBorder="1" applyAlignment="1">
      <alignment horizontal="center" vertical="center"/>
    </xf>
    <xf numFmtId="166" fontId="10" fillId="0" borderId="21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37" fillId="0" borderId="0" xfId="0" applyFont="1" applyAlignment="1">
      <alignment horizontal="right" vertical="center" wrapText="1"/>
    </xf>
    <xf numFmtId="166" fontId="9" fillId="13" borderId="20" xfId="0" applyNumberFormat="1" applyFont="1" applyFill="1" applyBorder="1" applyAlignment="1">
      <alignment horizontal="center" vertical="center"/>
    </xf>
    <xf numFmtId="166" fontId="9" fillId="13" borderId="24" xfId="0" applyNumberFormat="1" applyFont="1" applyFill="1" applyBorder="1" applyAlignment="1">
      <alignment horizontal="center" vertical="center"/>
    </xf>
    <xf numFmtId="166" fontId="9" fillId="13" borderId="21" xfId="0" applyNumberFormat="1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/>
    </xf>
    <xf numFmtId="0" fontId="10" fillId="8" borderId="25" xfId="0" applyFont="1" applyFill="1" applyBorder="1" applyAlignment="1">
      <alignment horizontal="center"/>
    </xf>
    <xf numFmtId="0" fontId="10" fillId="8" borderId="19" xfId="0" applyFont="1" applyFill="1" applyBorder="1" applyAlignment="1">
      <alignment horizontal="center"/>
    </xf>
    <xf numFmtId="0" fontId="32" fillId="0" borderId="14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166" fontId="27" fillId="6" borderId="16" xfId="0" applyNumberFormat="1" applyFont="1" applyFill="1" applyBorder="1" applyAlignment="1">
      <alignment horizontal="center"/>
    </xf>
    <xf numFmtId="0" fontId="27" fillId="6" borderId="1" xfId="0" applyFont="1" applyFill="1" applyBorder="1" applyAlignment="1">
      <alignment horizontal="center"/>
    </xf>
    <xf numFmtId="0" fontId="27" fillId="6" borderId="7" xfId="0" applyFont="1" applyFill="1" applyBorder="1" applyAlignment="1">
      <alignment horizontal="center"/>
    </xf>
    <xf numFmtId="165" fontId="15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0" fillId="11" borderId="0" xfId="0" applyFont="1" applyFill="1" applyAlignment="1">
      <alignment horizontal="center"/>
    </xf>
    <xf numFmtId="0" fontId="10" fillId="11" borderId="12" xfId="0" applyFont="1" applyFill="1" applyBorder="1" applyAlignment="1">
      <alignment horizontal="center"/>
    </xf>
    <xf numFmtId="0" fontId="10" fillId="7" borderId="14" xfId="0" applyFont="1" applyFill="1" applyBorder="1" applyAlignment="1">
      <alignment horizontal="center" wrapText="1"/>
    </xf>
    <xf numFmtId="0" fontId="10" fillId="7" borderId="6" xfId="0" applyFont="1" applyFill="1" applyBorder="1" applyAlignment="1">
      <alignment horizontal="center" wrapText="1"/>
    </xf>
    <xf numFmtId="0" fontId="10" fillId="7" borderId="15" xfId="0" applyFont="1" applyFill="1" applyBorder="1" applyAlignment="1">
      <alignment horizontal="center" wrapText="1"/>
    </xf>
    <xf numFmtId="0" fontId="10" fillId="7" borderId="5" xfId="0" applyFont="1" applyFill="1" applyBorder="1" applyAlignment="1">
      <alignment horizontal="center" wrapText="1"/>
    </xf>
    <xf numFmtId="0" fontId="10" fillId="7" borderId="0" xfId="0" applyFont="1" applyFill="1" applyAlignment="1">
      <alignment horizontal="center" wrapText="1"/>
    </xf>
    <xf numFmtId="0" fontId="10" fillId="7" borderId="12" xfId="0" applyFont="1" applyFill="1" applyBorder="1" applyAlignment="1">
      <alignment horizontal="center" wrapText="1"/>
    </xf>
    <xf numFmtId="0" fontId="10" fillId="7" borderId="16" xfId="0" applyFont="1" applyFill="1" applyBorder="1" applyAlignment="1">
      <alignment horizontal="center" wrapText="1"/>
    </xf>
    <xf numFmtId="0" fontId="10" fillId="7" borderId="1" xfId="0" applyFont="1" applyFill="1" applyBorder="1" applyAlignment="1">
      <alignment horizontal="center" wrapText="1"/>
    </xf>
    <xf numFmtId="0" fontId="10" fillId="7" borderId="7" xfId="0" applyFont="1" applyFill="1" applyBorder="1" applyAlignment="1">
      <alignment horizontal="center" wrapText="1"/>
    </xf>
    <xf numFmtId="0" fontId="17" fillId="0" borderId="0" xfId="0" applyFont="1" applyAlignment="1">
      <alignment horizontal="left"/>
    </xf>
    <xf numFmtId="0" fontId="9" fillId="10" borderId="4" xfId="0" applyFont="1" applyFill="1" applyBorder="1" applyAlignment="1" applyProtection="1">
      <alignment horizontal="left" vertical="center"/>
      <protection locked="0"/>
    </xf>
    <xf numFmtId="0" fontId="10" fillId="0" borderId="11" xfId="0" applyFont="1" applyBorder="1" applyAlignment="1">
      <alignment horizontal="right" vertical="center"/>
    </xf>
    <xf numFmtId="0" fontId="10" fillId="10" borderId="0" xfId="0" applyFont="1" applyFill="1" applyAlignment="1">
      <alignment horizontal="center"/>
    </xf>
    <xf numFmtId="0" fontId="10" fillId="10" borderId="12" xfId="0" applyFont="1" applyFill="1" applyBorder="1" applyAlignment="1">
      <alignment horizontal="center"/>
    </xf>
    <xf numFmtId="2" fontId="10" fillId="3" borderId="27" xfId="1" applyNumberFormat="1" applyFont="1" applyFill="1" applyBorder="1" applyAlignment="1" applyProtection="1">
      <alignment horizontal="center"/>
    </xf>
    <xf numFmtId="2" fontId="10" fillId="3" borderId="13" xfId="1" applyNumberFormat="1" applyFont="1" applyFill="1" applyBorder="1" applyAlignment="1" applyProtection="1">
      <alignment horizontal="center"/>
    </xf>
    <xf numFmtId="165" fontId="40" fillId="0" borderId="0" xfId="0" applyNumberFormat="1" applyFont="1" applyAlignment="1">
      <alignment horizontal="right" vertical="top" wrapText="1"/>
    </xf>
    <xf numFmtId="165" fontId="21" fillId="0" borderId="0" xfId="0" applyNumberFormat="1" applyFont="1" applyAlignment="1">
      <alignment horizontal="right" vertical="top" wrapText="1"/>
    </xf>
    <xf numFmtId="0" fontId="15" fillId="2" borderId="27" xfId="0" applyFont="1" applyFill="1" applyBorder="1" applyAlignment="1" applyProtection="1">
      <alignment horizontal="center"/>
      <protection locked="0"/>
    </xf>
    <xf numFmtId="0" fontId="15" fillId="2" borderId="13" xfId="0" applyFont="1" applyFill="1" applyBorder="1" applyAlignment="1" applyProtection="1">
      <alignment horizontal="center"/>
      <protection locked="0"/>
    </xf>
    <xf numFmtId="165" fontId="15" fillId="0" borderId="1" xfId="0" applyNumberFormat="1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1" fillId="11" borderId="2" xfId="0" applyFont="1" applyFill="1" applyBorder="1" applyAlignment="1" applyProtection="1">
      <alignment horizontal="center" vertical="center" wrapText="1"/>
      <protection locked="0"/>
    </xf>
    <xf numFmtId="0" fontId="11" fillId="11" borderId="26" xfId="0" applyFont="1" applyFill="1" applyBorder="1" applyAlignment="1" applyProtection="1">
      <alignment horizontal="center" vertical="center" wrapText="1"/>
      <protection locked="0"/>
    </xf>
    <xf numFmtId="0" fontId="11" fillId="11" borderId="3" xfId="0" applyFont="1" applyFill="1" applyBorder="1" applyAlignment="1" applyProtection="1">
      <alignment horizontal="center" vertical="center" wrapText="1"/>
      <protection locked="0"/>
    </xf>
    <xf numFmtId="165" fontId="44" fillId="0" borderId="0" xfId="0" applyNumberFormat="1" applyFont="1" applyAlignment="1">
      <alignment horizontal="right" vertical="top" wrapText="1"/>
    </xf>
    <xf numFmtId="165" fontId="43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15" borderId="4" xfId="0" applyFill="1" applyBorder="1" applyAlignment="1" applyProtection="1">
      <alignment horizontal="center" vertical="center"/>
      <protection locked="0"/>
    </xf>
    <xf numFmtId="0" fontId="0" fillId="15" borderId="27" xfId="0" applyFill="1" applyBorder="1" applyAlignment="1" applyProtection="1">
      <alignment horizontal="center" vertical="center"/>
      <protection locked="0"/>
    </xf>
    <xf numFmtId="0" fontId="0" fillId="15" borderId="13" xfId="0" applyFill="1" applyBorder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4" borderId="4" xfId="0" applyFill="1" applyBorder="1" applyAlignment="1" applyProtection="1">
      <alignment horizontal="center" vertical="center"/>
      <protection locked="0"/>
    </xf>
    <xf numFmtId="49" fontId="0" fillId="15" borderId="27" xfId="0" applyNumberFormat="1" applyFill="1" applyBorder="1" applyAlignment="1" applyProtection="1">
      <alignment horizontal="center" vertical="center" wrapText="1"/>
      <protection locked="0"/>
    </xf>
    <xf numFmtId="49" fontId="0" fillId="15" borderId="13" xfId="0" applyNumberForma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3" xfId="0" applyBorder="1" applyAlignment="1">
      <alignment horizontal="right"/>
    </xf>
    <xf numFmtId="0" fontId="5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0" fillId="15" borderId="27" xfId="0" applyNumberFormat="1" applyFill="1" applyBorder="1" applyAlignment="1" applyProtection="1">
      <alignment horizontal="center" vertical="center"/>
      <protection locked="0"/>
    </xf>
    <xf numFmtId="49" fontId="0" fillId="15" borderId="13" xfId="0" applyNumberForma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1" fillId="14" borderId="0" xfId="0" applyFont="1" applyFill="1" applyAlignment="1" applyProtection="1">
      <alignment horizontal="center" vertical="top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12" xfId="0" applyFont="1" applyBorder="1" applyAlignment="1" applyProtection="1">
      <alignment horizontal="right" vertical="center"/>
      <protection locked="0"/>
    </xf>
    <xf numFmtId="0" fontId="38" fillId="0" borderId="0" xfId="0" applyFont="1" applyAlignment="1" applyProtection="1">
      <alignment horizontal="right" vertical="center"/>
      <protection locked="0"/>
    </xf>
    <xf numFmtId="0" fontId="38" fillId="0" borderId="12" xfId="0" applyFont="1" applyBorder="1" applyAlignment="1" applyProtection="1">
      <alignment horizontal="right" vertical="center"/>
      <protection locked="0"/>
    </xf>
    <xf numFmtId="0" fontId="32" fillId="0" borderId="14" xfId="0" applyFont="1" applyBorder="1" applyAlignment="1" applyProtection="1">
      <alignment horizontal="center" vertical="center"/>
      <protection locked="0"/>
    </xf>
    <xf numFmtId="0" fontId="32" fillId="0" borderId="6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2" fillId="0" borderId="16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10" fillId="4" borderId="6" xfId="0" applyFont="1" applyFill="1" applyBorder="1" applyAlignment="1" applyProtection="1">
      <alignment horizontal="center" vertical="center"/>
      <protection locked="0"/>
    </xf>
    <xf numFmtId="0" fontId="10" fillId="4" borderId="15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3" fillId="0" borderId="12" xfId="0" applyFont="1" applyBorder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166" fontId="27" fillId="6" borderId="2" xfId="0" applyNumberFormat="1" applyFont="1" applyFill="1" applyBorder="1" applyAlignment="1" applyProtection="1">
      <alignment horizontal="center"/>
      <protection locked="0"/>
    </xf>
    <xf numFmtId="166" fontId="27" fillId="6" borderId="26" xfId="0" applyNumberFormat="1" applyFont="1" applyFill="1" applyBorder="1" applyAlignment="1" applyProtection="1">
      <alignment horizontal="center"/>
      <protection locked="0"/>
    </xf>
    <xf numFmtId="0" fontId="10" fillId="7" borderId="14" xfId="0" applyFont="1" applyFill="1" applyBorder="1" applyAlignment="1" applyProtection="1">
      <alignment horizontal="center" wrapText="1"/>
      <protection locked="0"/>
    </xf>
    <xf numFmtId="0" fontId="10" fillId="7" borderId="6" xfId="0" applyFont="1" applyFill="1" applyBorder="1" applyAlignment="1" applyProtection="1">
      <alignment horizontal="center" wrapText="1"/>
      <protection locked="0"/>
    </xf>
    <xf numFmtId="0" fontId="10" fillId="7" borderId="15" xfId="0" applyFont="1" applyFill="1" applyBorder="1" applyAlignment="1" applyProtection="1">
      <alignment horizontal="center" wrapText="1"/>
      <protection locked="0"/>
    </xf>
    <xf numFmtId="0" fontId="10" fillId="7" borderId="5" xfId="0" applyFont="1" applyFill="1" applyBorder="1" applyAlignment="1" applyProtection="1">
      <alignment horizontal="center" wrapText="1"/>
      <protection locked="0"/>
    </xf>
    <xf numFmtId="0" fontId="10" fillId="7" borderId="0" xfId="0" applyFont="1" applyFill="1" applyAlignment="1" applyProtection="1">
      <alignment horizontal="center" wrapText="1"/>
      <protection locked="0"/>
    </xf>
    <xf numFmtId="0" fontId="10" fillId="7" borderId="12" xfId="0" applyFont="1" applyFill="1" applyBorder="1" applyAlignment="1" applyProtection="1">
      <alignment horizontal="center" wrapText="1"/>
      <protection locked="0"/>
    </xf>
    <xf numFmtId="0" fontId="10" fillId="7" borderId="16" xfId="0" applyFont="1" applyFill="1" applyBorder="1" applyAlignment="1" applyProtection="1">
      <alignment horizontal="center" wrapText="1"/>
      <protection locked="0"/>
    </xf>
    <xf numFmtId="0" fontId="10" fillId="7" borderId="1" xfId="0" applyFont="1" applyFill="1" applyBorder="1" applyAlignment="1" applyProtection="1">
      <alignment horizontal="center" wrapText="1"/>
      <protection locked="0"/>
    </xf>
    <xf numFmtId="0" fontId="10" fillId="7" borderId="7" xfId="0" applyFont="1" applyFill="1" applyBorder="1" applyAlignment="1" applyProtection="1">
      <alignment horizontal="center" wrapText="1"/>
      <protection locked="0"/>
    </xf>
    <xf numFmtId="0" fontId="10" fillId="10" borderId="0" xfId="0" applyFont="1" applyFill="1" applyAlignment="1" applyProtection="1">
      <alignment horizontal="center"/>
      <protection locked="0"/>
    </xf>
    <xf numFmtId="0" fontId="10" fillId="10" borderId="12" xfId="0" applyFont="1" applyFill="1" applyBorder="1" applyAlignment="1" applyProtection="1">
      <alignment horizontal="center"/>
      <protection locked="0"/>
    </xf>
    <xf numFmtId="0" fontId="10" fillId="11" borderId="0" xfId="0" applyFont="1" applyFill="1" applyAlignment="1" applyProtection="1">
      <alignment horizontal="center"/>
      <protection locked="0"/>
    </xf>
    <xf numFmtId="0" fontId="10" fillId="11" borderId="12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center" wrapText="1"/>
      <protection locked="0"/>
    </xf>
    <xf numFmtId="165" fontId="15" fillId="0" borderId="0" xfId="0" applyNumberFormat="1" applyFont="1" applyAlignment="1" applyProtection="1">
      <alignment horizontal="left" wrapText="1"/>
      <protection locked="0"/>
    </xf>
    <xf numFmtId="165" fontId="15" fillId="0" borderId="1" xfId="0" applyNumberFormat="1" applyFont="1" applyBorder="1" applyAlignment="1" applyProtection="1">
      <alignment horizontal="center" wrapText="1"/>
      <protection locked="0"/>
    </xf>
    <xf numFmtId="165" fontId="15" fillId="0" borderId="0" xfId="0" applyNumberFormat="1" applyFont="1" applyAlignment="1" applyProtection="1">
      <alignment horizontal="center" wrapText="1"/>
      <protection locked="0"/>
    </xf>
    <xf numFmtId="165" fontId="40" fillId="0" borderId="0" xfId="0" applyNumberFormat="1" applyFont="1" applyAlignment="1" applyProtection="1">
      <alignment horizontal="right" vertical="top" wrapText="1"/>
      <protection locked="0"/>
    </xf>
    <xf numFmtId="165" fontId="21" fillId="0" borderId="0" xfId="0" applyNumberFormat="1" applyFont="1" applyAlignment="1" applyProtection="1">
      <alignment horizontal="right" vertical="top"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0" fontId="30" fillId="0" borderId="0" xfId="0" applyFont="1" applyAlignment="1" applyProtection="1">
      <alignment horizontal="right" vertical="center" wrapText="1"/>
      <protection locked="0"/>
    </xf>
    <xf numFmtId="0" fontId="22" fillId="0" borderId="12" xfId="0" applyFont="1" applyBorder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right" vertical="center" wrapText="1"/>
      <protection locked="0"/>
    </xf>
    <xf numFmtId="0" fontId="22" fillId="0" borderId="12" xfId="0" applyFont="1" applyBorder="1" applyAlignment="1" applyProtection="1">
      <alignment horizontal="right" vertical="center" wrapText="1"/>
      <protection locked="0"/>
    </xf>
    <xf numFmtId="2" fontId="10" fillId="3" borderId="27" xfId="1" applyNumberFormat="1" applyFont="1" applyFill="1" applyBorder="1" applyAlignment="1" applyProtection="1">
      <alignment horizontal="center"/>
      <protection locked="0"/>
    </xf>
    <xf numFmtId="2" fontId="10" fillId="3" borderId="13" xfId="1" applyNumberFormat="1" applyFont="1" applyFill="1" applyBorder="1" applyAlignment="1" applyProtection="1">
      <alignment horizontal="center"/>
      <protection locked="0"/>
    </xf>
    <xf numFmtId="0" fontId="21" fillId="0" borderId="12" xfId="0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165" fontId="44" fillId="0" borderId="0" xfId="0" applyNumberFormat="1" applyFont="1" applyAlignment="1" applyProtection="1">
      <alignment horizontal="right" vertical="top" wrapText="1"/>
      <protection locked="0"/>
    </xf>
    <xf numFmtId="165" fontId="43" fillId="0" borderId="0" xfId="0" applyNumberFormat="1" applyFont="1" applyAlignment="1" applyProtection="1">
      <alignment horizontal="right" vertical="top" wrapText="1"/>
      <protection locked="0"/>
    </xf>
    <xf numFmtId="0" fontId="10" fillId="8" borderId="28" xfId="0" applyFont="1" applyFill="1" applyBorder="1" applyAlignment="1" applyProtection="1">
      <alignment horizontal="center"/>
      <protection locked="0"/>
    </xf>
    <xf numFmtId="0" fontId="10" fillId="8" borderId="29" xfId="0" applyFont="1" applyFill="1" applyBorder="1" applyAlignment="1" applyProtection="1">
      <alignment horizontal="center"/>
      <protection locked="0"/>
    </xf>
    <xf numFmtId="0" fontId="10" fillId="8" borderId="18" xfId="0" applyFont="1" applyFill="1" applyBorder="1" applyAlignment="1" applyProtection="1">
      <alignment horizontal="center"/>
      <protection locked="0"/>
    </xf>
    <xf numFmtId="0" fontId="10" fillId="8" borderId="25" xfId="0" applyFont="1" applyFill="1" applyBorder="1" applyAlignment="1" applyProtection="1">
      <alignment horizontal="center"/>
      <protection locked="0"/>
    </xf>
    <xf numFmtId="0" fontId="10" fillId="8" borderId="19" xfId="0" applyFont="1" applyFill="1" applyBorder="1" applyAlignment="1" applyProtection="1">
      <alignment horizontal="center"/>
      <protection locked="0"/>
    </xf>
    <xf numFmtId="166" fontId="10" fillId="0" borderId="30" xfId="0" applyNumberFormat="1" applyFont="1" applyBorder="1" applyAlignment="1" applyProtection="1">
      <alignment horizontal="center" vertical="center"/>
      <protection locked="0"/>
    </xf>
    <xf numFmtId="166" fontId="10" fillId="0" borderId="31" xfId="0" applyNumberFormat="1" applyFont="1" applyBorder="1" applyAlignment="1" applyProtection="1">
      <alignment horizontal="center" vertical="center"/>
      <protection locked="0"/>
    </xf>
    <xf numFmtId="166" fontId="9" fillId="2" borderId="20" xfId="0" applyNumberFormat="1" applyFont="1" applyFill="1" applyBorder="1" applyAlignment="1" applyProtection="1">
      <alignment horizontal="center" vertical="center"/>
      <protection locked="0"/>
    </xf>
    <xf numFmtId="166" fontId="9" fillId="2" borderId="24" xfId="0" applyNumberFormat="1" applyFont="1" applyFill="1" applyBorder="1" applyAlignment="1" applyProtection="1">
      <alignment horizontal="center" vertical="center"/>
      <protection locked="0"/>
    </xf>
    <xf numFmtId="166" fontId="9" fillId="2" borderId="21" xfId="0" applyNumberFormat="1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166" fontId="10" fillId="0" borderId="2" xfId="0" applyNumberFormat="1" applyFont="1" applyBorder="1" applyAlignment="1" applyProtection="1">
      <alignment horizontal="center" vertical="center"/>
      <protection locked="0"/>
    </xf>
    <xf numFmtId="166" fontId="10" fillId="0" borderId="3" xfId="0" applyNumberFormat="1" applyFont="1" applyBorder="1" applyAlignment="1" applyProtection="1">
      <alignment horizontal="center" vertical="center"/>
      <protection locked="0"/>
    </xf>
    <xf numFmtId="0" fontId="10" fillId="14" borderId="37" xfId="0" applyFont="1" applyFill="1" applyBorder="1" applyAlignment="1" applyProtection="1">
      <alignment horizontal="center" vertical="top" wrapText="1"/>
      <protection locked="0"/>
    </xf>
    <xf numFmtId="0" fontId="10" fillId="14" borderId="6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horizontal="right" vertical="center" wrapText="1"/>
      <protection locked="0"/>
    </xf>
    <xf numFmtId="0" fontId="11" fillId="0" borderId="36" xfId="0" applyFont="1" applyBorder="1" applyAlignment="1" applyProtection="1">
      <alignment horizontal="right" vertical="center" wrapText="1"/>
      <protection locked="0"/>
    </xf>
    <xf numFmtId="166" fontId="10" fillId="0" borderId="34" xfId="0" applyNumberFormat="1" applyFont="1" applyBorder="1" applyAlignment="1" applyProtection="1">
      <alignment horizontal="center" vertical="center"/>
      <protection locked="0"/>
    </xf>
    <xf numFmtId="166" fontId="10" fillId="0" borderId="35" xfId="0" applyNumberFormat="1" applyFont="1" applyBorder="1" applyAlignment="1" applyProtection="1">
      <alignment horizontal="center" vertical="center"/>
      <protection locked="0"/>
    </xf>
    <xf numFmtId="166" fontId="10" fillId="0" borderId="20" xfId="0" applyNumberFormat="1" applyFont="1" applyBorder="1" applyAlignment="1" applyProtection="1">
      <alignment horizontal="center" vertical="center"/>
      <protection locked="0"/>
    </xf>
    <xf numFmtId="166" fontId="10" fillId="0" borderId="21" xfId="0" applyNumberFormat="1" applyFont="1" applyBorder="1" applyAlignment="1" applyProtection="1">
      <alignment horizontal="center" vertical="center"/>
      <protection locked="0"/>
    </xf>
    <xf numFmtId="164" fontId="29" fillId="0" borderId="30" xfId="0" applyNumberFormat="1" applyFont="1" applyBorder="1" applyAlignment="1" applyProtection="1">
      <alignment horizontal="center" vertical="center"/>
      <protection locked="0"/>
    </xf>
    <xf numFmtId="164" fontId="29" fillId="0" borderId="31" xfId="0" applyNumberFormat="1" applyFont="1" applyBorder="1" applyAlignment="1" applyProtection="1">
      <alignment horizontal="center" vertical="center"/>
      <protection locked="0"/>
    </xf>
    <xf numFmtId="0" fontId="31" fillId="9" borderId="32" xfId="0" applyFont="1" applyFill="1" applyBorder="1" applyAlignment="1" applyProtection="1">
      <alignment horizontal="center" vertical="center"/>
      <protection locked="0"/>
    </xf>
    <xf numFmtId="0" fontId="31" fillId="9" borderId="33" xfId="0" applyFont="1" applyFill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10" fillId="4" borderId="15" xfId="0" applyFont="1" applyFill="1" applyBorder="1" applyAlignment="1" applyProtection="1">
      <alignment horizontal="center" vertical="center" wrapText="1"/>
      <protection locked="0"/>
    </xf>
  </cellXfs>
  <cellStyles count="5">
    <cellStyle name="Normal 2" xfId="3" xr:uid="{00000000-0005-0000-0000-000002000000}"/>
    <cellStyle name="Normal 3 5" xfId="4" xr:uid="{00000000-0005-0000-0000-000003000000}"/>
    <cellStyle name="Parasts" xfId="0" builtinId="0"/>
    <cellStyle name="Procenti" xfId="1" builtinId="5"/>
    <cellStyle name="Standard_HWB Kurzverf. Formular" xfId="2" xr:uid="{00000000-0005-0000-0000-000005000000}"/>
  </cellStyles>
  <dxfs count="24"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FFFF"/>
        </patternFill>
      </fill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66FF99"/>
      <color rgb="FFFF3399"/>
      <color rgb="FFE1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Types" Target="richData/rdRichValueTypes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279501</xdr:colOff>
      <xdr:row>32</xdr:row>
      <xdr:rowOff>160531</xdr:rowOff>
    </xdr:from>
    <xdr:to>
      <xdr:col>15</xdr:col>
      <xdr:colOff>1324625</xdr:colOff>
      <xdr:row>40</xdr:row>
      <xdr:rowOff>141766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9EAD2C-944F-4993-A576-5FCAA02FA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6617" y="8267857"/>
          <a:ext cx="5455295" cy="1398909"/>
        </a:xfrm>
        <a:prstGeom prst="rect">
          <a:avLst/>
        </a:prstGeom>
      </xdr:spPr>
    </xdr:pic>
    <xdr:clientData/>
  </xdr:twoCellAnchor>
  <xdr:twoCellAnchor editAs="oneCell">
    <xdr:from>
      <xdr:col>1</xdr:col>
      <xdr:colOff>412926</xdr:colOff>
      <xdr:row>31</xdr:row>
      <xdr:rowOff>131620</xdr:rowOff>
    </xdr:from>
    <xdr:to>
      <xdr:col>5</xdr:col>
      <xdr:colOff>423554</xdr:colOff>
      <xdr:row>54</xdr:row>
      <xdr:rowOff>8134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10C261-2B83-9A9B-A288-80B4F5A9D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926" y="5417129"/>
          <a:ext cx="4655712" cy="38596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297180</xdr:colOff>
      <xdr:row>20</xdr:row>
      <xdr:rowOff>128134</xdr:rowOff>
    </xdr:from>
    <xdr:to>
      <xdr:col>17</xdr:col>
      <xdr:colOff>335280</xdr:colOff>
      <xdr:row>39</xdr:row>
      <xdr:rowOff>68741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F32801-0717-48B3-8444-9267A7A99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36780" y="4151494"/>
          <a:ext cx="4305300" cy="35677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279501</xdr:colOff>
      <xdr:row>32</xdr:row>
      <xdr:rowOff>160531</xdr:rowOff>
    </xdr:from>
    <xdr:to>
      <xdr:col>16</xdr:col>
      <xdr:colOff>368389</xdr:colOff>
      <xdr:row>40</xdr:row>
      <xdr:rowOff>141763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2752A6-F807-41E3-B7A8-6EF5D240F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13801" y="7570981"/>
          <a:ext cx="5331374" cy="1505235"/>
        </a:xfrm>
        <a:prstGeom prst="rect">
          <a:avLst/>
        </a:prstGeom>
      </xdr:spPr>
    </xdr:pic>
    <xdr:clientData/>
  </xdr:twoCellAnchor>
  <xdr:twoCellAnchor editAs="oneCell">
    <xdr:from>
      <xdr:col>1</xdr:col>
      <xdr:colOff>412926</xdr:colOff>
      <xdr:row>31</xdr:row>
      <xdr:rowOff>131620</xdr:rowOff>
    </xdr:from>
    <xdr:to>
      <xdr:col>5</xdr:col>
      <xdr:colOff>399742</xdr:colOff>
      <xdr:row>54</xdr:row>
      <xdr:rowOff>8134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072A99-6EDF-4950-AD70-3D9D78C3E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651" y="7351570"/>
          <a:ext cx="4496903" cy="4258014"/>
        </a:xfrm>
        <a:prstGeom prst="rect">
          <a:avLst/>
        </a:prstGeom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4</v>
    <v>8</v>
    <v>0</v>
    <v>6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N75"/>
  <sheetViews>
    <sheetView showGridLines="0" tabSelected="1" zoomScale="90" zoomScaleNormal="90" zoomScaleSheetLayoutView="90" workbookViewId="0">
      <selection activeCell="E16" sqref="E16"/>
    </sheetView>
  </sheetViews>
  <sheetFormatPr defaultColWidth="8.85546875" defaultRowHeight="15" x14ac:dyDescent="0.25"/>
  <cols>
    <col min="1" max="1" width="1.28515625" style="19" customWidth="1"/>
    <col min="2" max="2" width="23.5703125" style="1" customWidth="1"/>
    <col min="3" max="3" width="19.7109375" style="1" customWidth="1"/>
    <col min="4" max="4" width="10.28515625" style="1" customWidth="1"/>
    <col min="5" max="5" width="13.7109375" style="1" customWidth="1"/>
    <col min="6" max="6" width="13" style="1" customWidth="1"/>
    <col min="7" max="7" width="15.28515625" style="1" customWidth="1"/>
    <col min="8" max="9" width="9.5703125" style="1" customWidth="1"/>
    <col min="10" max="10" width="7.7109375" style="1" customWidth="1"/>
    <col min="11" max="11" width="4.85546875" style="1" customWidth="1"/>
    <col min="12" max="12" width="10.28515625" style="1" customWidth="1"/>
    <col min="13" max="13" width="13.7109375" style="1" customWidth="1"/>
    <col min="14" max="14" width="14.7109375" style="1" customWidth="1"/>
    <col min="15" max="15" width="13" style="1" customWidth="1"/>
    <col min="16" max="16" width="22" style="1" customWidth="1"/>
    <col min="17" max="18" width="9.5703125" style="1" customWidth="1"/>
    <col min="19" max="19" width="5.42578125" style="1" customWidth="1"/>
    <col min="20" max="20" width="10.140625" style="1" customWidth="1"/>
    <col min="21" max="21" width="8.85546875" style="1"/>
    <col min="22" max="40" width="8.85546875" style="19"/>
    <col min="41" max="16384" width="8.85546875" style="1"/>
  </cols>
  <sheetData>
    <row r="1" spans="1:40" s="19" customFormat="1" ht="4.1500000000000004" customHeight="1" x14ac:dyDescent="0.25">
      <c r="B1" s="22"/>
      <c r="C1" s="23"/>
      <c r="D1" s="22"/>
      <c r="E1" s="22"/>
      <c r="F1" s="22"/>
      <c r="G1" s="22"/>
      <c r="H1" s="22"/>
      <c r="I1" s="22"/>
      <c r="J1" s="22"/>
      <c r="L1" s="22"/>
      <c r="M1" s="22"/>
      <c r="N1" s="22"/>
      <c r="O1" s="22"/>
      <c r="P1" s="22"/>
      <c r="Q1" s="22"/>
      <c r="R1" s="22"/>
    </row>
    <row r="2" spans="1:40" ht="22.5" x14ac:dyDescent="0.25">
      <c r="B2" s="188" t="s">
        <v>0</v>
      </c>
      <c r="C2" s="189"/>
      <c r="D2" s="189"/>
      <c r="E2" s="189"/>
      <c r="F2" s="194" t="s">
        <v>1</v>
      </c>
      <c r="G2" s="194"/>
      <c r="H2" s="194"/>
      <c r="I2" s="194"/>
      <c r="J2" s="194"/>
      <c r="K2" s="195"/>
      <c r="L2" s="50"/>
      <c r="M2" s="206" t="s">
        <v>2</v>
      </c>
      <c r="N2" s="207"/>
      <c r="O2" s="207"/>
      <c r="P2" s="207"/>
      <c r="Q2" s="207"/>
      <c r="R2" s="207"/>
      <c r="S2" s="207"/>
      <c r="T2" s="207"/>
      <c r="U2" s="208"/>
    </row>
    <row r="3" spans="1:40" s="2" customFormat="1" ht="15.6" customHeight="1" x14ac:dyDescent="0.25">
      <c r="A3" s="20"/>
      <c r="B3" s="190"/>
      <c r="C3" s="191"/>
      <c r="D3" s="191"/>
      <c r="E3" s="191"/>
      <c r="F3" s="218" t="s">
        <v>3</v>
      </c>
      <c r="G3" s="218"/>
      <c r="H3" s="218"/>
      <c r="I3" s="218"/>
      <c r="J3" s="218"/>
      <c r="K3" s="219"/>
      <c r="L3" s="50"/>
      <c r="M3" s="209"/>
      <c r="N3" s="210"/>
      <c r="O3" s="210"/>
      <c r="P3" s="210"/>
      <c r="Q3" s="210"/>
      <c r="R3" s="210"/>
      <c r="S3" s="210"/>
      <c r="T3" s="210"/>
      <c r="U3" s="211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s="2" customFormat="1" ht="15.6" customHeight="1" x14ac:dyDescent="0.25">
      <c r="A4" s="20"/>
      <c r="B4" s="190"/>
      <c r="C4" s="191"/>
      <c r="D4" s="191"/>
      <c r="E4" s="191"/>
      <c r="F4" s="204" t="s">
        <v>4</v>
      </c>
      <c r="G4" s="204"/>
      <c r="H4" s="204"/>
      <c r="I4" s="204"/>
      <c r="J4" s="204"/>
      <c r="K4" s="205"/>
      <c r="L4" s="50"/>
      <c r="M4" s="212"/>
      <c r="N4" s="213"/>
      <c r="O4" s="213"/>
      <c r="P4" s="213"/>
      <c r="Q4" s="213"/>
      <c r="R4" s="213"/>
      <c r="S4" s="213"/>
      <c r="T4" s="213"/>
      <c r="U4" s="214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0" s="2" customFormat="1" ht="15.6" customHeight="1" x14ac:dyDescent="0.3">
      <c r="A5" s="20"/>
      <c r="B5" s="192"/>
      <c r="C5" s="193"/>
      <c r="D5" s="193"/>
      <c r="E5" s="193"/>
      <c r="F5" s="196" t="s">
        <v>5</v>
      </c>
      <c r="G5" s="196"/>
      <c r="H5" s="196"/>
      <c r="I5" s="196"/>
      <c r="J5" s="196"/>
      <c r="K5" s="197"/>
      <c r="L5" s="50"/>
      <c r="M5" s="198" t="e">
        <f>ROUND((H29-Q29),3)</f>
        <v>#DIV/0!</v>
      </c>
      <c r="N5" s="199"/>
      <c r="O5" s="199"/>
      <c r="P5" s="199"/>
      <c r="Q5" s="199"/>
      <c r="R5" s="199"/>
      <c r="S5" s="199"/>
      <c r="T5" s="199"/>
      <c r="U5" s="20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</row>
    <row r="6" spans="1:40" s="3" customFormat="1" ht="5.45" customHeight="1" thickBot="1" x14ac:dyDescent="0.25">
      <c r="A6" s="21"/>
      <c r="C6" s="51"/>
      <c r="D6" s="51"/>
      <c r="E6" s="51"/>
      <c r="F6" s="51"/>
      <c r="G6" s="51"/>
      <c r="H6" s="51"/>
      <c r="I6" s="51"/>
      <c r="J6" s="51"/>
      <c r="K6" s="52"/>
      <c r="L6" s="51"/>
      <c r="M6" s="52"/>
      <c r="N6" s="52"/>
      <c r="O6" s="52"/>
      <c r="P6" s="52"/>
      <c r="Q6" s="52"/>
      <c r="R6" s="52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 ht="16.5" thickBot="1" x14ac:dyDescent="0.3">
      <c r="C7" s="202" t="s">
        <v>6</v>
      </c>
      <c r="D7" s="202"/>
      <c r="E7" s="203"/>
      <c r="F7" s="216"/>
      <c r="G7" s="216"/>
      <c r="H7" s="216"/>
      <c r="I7" s="216"/>
      <c r="J7" s="216"/>
      <c r="K7" s="53"/>
      <c r="L7" s="54"/>
      <c r="M7" s="140" t="s">
        <v>7</v>
      </c>
      <c r="N7" s="140"/>
      <c r="O7" s="140"/>
      <c r="P7" s="140"/>
      <c r="Q7" s="140"/>
      <c r="R7" s="140"/>
      <c r="S7" s="217"/>
      <c r="T7" s="55" t="e">
        <f>+Dati!G22</f>
        <v>#DIV/0!</v>
      </c>
      <c r="U7" s="1" t="s">
        <v>8</v>
      </c>
    </row>
    <row r="8" spans="1:40" ht="15.75" customHeight="1" x14ac:dyDescent="0.25">
      <c r="B8" s="54"/>
      <c r="C8" s="202" t="s">
        <v>9</v>
      </c>
      <c r="D8" s="202"/>
      <c r="E8" s="202"/>
      <c r="F8" s="202"/>
      <c r="G8" s="202"/>
      <c r="H8" s="203"/>
      <c r="I8" s="37"/>
      <c r="J8" s="1" t="s">
        <v>10</v>
      </c>
      <c r="K8" s="215" t="str">
        <f>IF(I8&lt;50,"Neatbilst","")</f>
        <v>Neatbilst</v>
      </c>
      <c r="L8" s="215"/>
    </row>
    <row r="9" spans="1:40" ht="14.45" customHeight="1" x14ac:dyDescent="0.25">
      <c r="B9" s="54"/>
      <c r="C9" s="140" t="s">
        <v>11</v>
      </c>
      <c r="D9" s="140"/>
      <c r="E9" s="140"/>
      <c r="F9" s="140"/>
      <c r="G9" s="140"/>
      <c r="H9" s="141"/>
      <c r="I9" s="37"/>
      <c r="J9" s="1" t="s">
        <v>12</v>
      </c>
      <c r="K9" s="56"/>
      <c r="L9" s="57"/>
      <c r="M9" s="54"/>
      <c r="N9" s="140" t="s">
        <v>13</v>
      </c>
      <c r="O9" s="140"/>
      <c r="P9" s="140"/>
      <c r="Q9" s="140"/>
      <c r="R9" s="140"/>
      <c r="S9" s="141"/>
      <c r="T9" s="36"/>
      <c r="U9" s="1" t="s">
        <v>8</v>
      </c>
    </row>
    <row r="10" spans="1:40" ht="14.45" customHeight="1" x14ac:dyDescent="0.25">
      <c r="B10" s="54"/>
      <c r="C10" s="140" t="s">
        <v>14</v>
      </c>
      <c r="D10" s="140"/>
      <c r="E10" s="140"/>
      <c r="F10" s="140"/>
      <c r="G10" s="140"/>
      <c r="H10" s="141"/>
      <c r="I10" s="36"/>
      <c r="J10" s="1" t="s">
        <v>8</v>
      </c>
      <c r="K10" s="215" t="str">
        <f>IF(I10&gt;50,"Neatbilst","")</f>
        <v/>
      </c>
      <c r="L10" s="215"/>
      <c r="N10" s="150" t="s">
        <v>15</v>
      </c>
      <c r="O10" s="150"/>
      <c r="P10" s="150"/>
      <c r="Q10" s="150"/>
      <c r="R10" s="150"/>
      <c r="S10" s="151"/>
      <c r="T10" s="36"/>
      <c r="U10" s="1" t="s">
        <v>16</v>
      </c>
    </row>
    <row r="11" spans="1:40" s="4" customFormat="1" ht="4.1500000000000004" customHeight="1" x14ac:dyDescent="0.25">
      <c r="A11" s="19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</row>
    <row r="12" spans="1:40" s="4" customFormat="1" ht="13.9" customHeight="1" x14ac:dyDescent="0.25">
      <c r="A12" s="19"/>
      <c r="C12" s="58"/>
      <c r="D12" s="226" t="s">
        <v>17</v>
      </c>
      <c r="E12" s="226"/>
      <c r="F12" s="226"/>
      <c r="G12" s="226"/>
      <c r="H12" s="59"/>
      <c r="I12" s="59"/>
      <c r="J12" s="59"/>
      <c r="K12" s="58"/>
      <c r="L12" s="226" t="s">
        <v>18</v>
      </c>
      <c r="M12" s="226"/>
      <c r="N12" s="226"/>
      <c r="O12" s="226"/>
      <c r="P12" s="222" t="s">
        <v>19</v>
      </c>
      <c r="Q12" s="223"/>
      <c r="R12" s="223"/>
      <c r="S12" s="223"/>
      <c r="T12" s="224" t="e">
        <f>IF(Q27="42.2. siltumsūkņa (zeme–ūdens, ūdens–ūdens vai gaiss–ūdens) iegāde",H26/3*1000,IF(Q27="42.4. siltumsūkņa (gaiss–gaiss) iegāde un uzstādīšana",H26/3*1000,0))</f>
        <v>#DIV/0!</v>
      </c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</row>
    <row r="13" spans="1:40" s="2" customFormat="1" ht="15.6" customHeight="1" x14ac:dyDescent="0.25">
      <c r="A13" s="20"/>
      <c r="B13" s="143" t="s">
        <v>20</v>
      </c>
      <c r="C13" s="146"/>
      <c r="D13" s="144" t="s">
        <v>81</v>
      </c>
      <c r="E13" s="144"/>
      <c r="F13" s="144"/>
      <c r="G13" s="144"/>
      <c r="H13" s="60"/>
      <c r="I13" s="60"/>
      <c r="J13" s="60"/>
      <c r="K13" s="61"/>
      <c r="L13" s="229"/>
      <c r="M13" s="230"/>
      <c r="N13" s="230"/>
      <c r="O13" s="231"/>
      <c r="P13" s="223"/>
      <c r="Q13" s="223"/>
      <c r="R13" s="223"/>
      <c r="S13" s="223"/>
      <c r="T13" s="225"/>
      <c r="U13" s="1" t="s">
        <v>16</v>
      </c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</row>
    <row r="14" spans="1:40" s="2" customFormat="1" ht="31.15" customHeight="1" x14ac:dyDescent="0.25">
      <c r="A14" s="20"/>
      <c r="B14" s="147" t="s">
        <v>23</v>
      </c>
      <c r="C14" s="148"/>
      <c r="D14" s="144" t="s">
        <v>65</v>
      </c>
      <c r="E14" s="144"/>
      <c r="F14" s="144"/>
      <c r="G14" s="144"/>
      <c r="H14" s="60"/>
      <c r="I14" s="60"/>
      <c r="J14" s="60"/>
      <c r="K14" s="62"/>
      <c r="L14" s="229"/>
      <c r="M14" s="230"/>
      <c r="N14" s="230"/>
      <c r="O14" s="231"/>
      <c r="P14" s="223"/>
      <c r="Q14" s="223"/>
      <c r="R14" s="223"/>
      <c r="S14" s="223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</row>
    <row r="15" spans="1:40" s="2" customFormat="1" ht="15.75" customHeight="1" x14ac:dyDescent="0.25">
      <c r="A15" s="20"/>
      <c r="B15" s="143" t="s">
        <v>26</v>
      </c>
      <c r="C15" s="146"/>
      <c r="D15" s="144" t="s">
        <v>28</v>
      </c>
      <c r="E15" s="144"/>
      <c r="F15" s="144"/>
      <c r="G15" s="144"/>
      <c r="H15" s="227"/>
      <c r="I15" s="228"/>
      <c r="J15" s="228"/>
      <c r="K15" s="62"/>
      <c r="L15" s="229"/>
      <c r="M15" s="230"/>
      <c r="N15" s="230"/>
      <c r="O15" s="231"/>
      <c r="P15" s="232" t="s">
        <v>29</v>
      </c>
      <c r="Q15" s="233"/>
      <c r="R15" s="233"/>
      <c r="S15" s="233"/>
      <c r="T15" s="220" t="e">
        <f>(($T10+T12)/($T9*900)*100)</f>
        <v>#DIV/0!</v>
      </c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</row>
    <row r="16" spans="1:40" s="2" customFormat="1" ht="15.6" customHeight="1" x14ac:dyDescent="0.25">
      <c r="A16" s="20"/>
      <c r="B16" s="147" t="s">
        <v>30</v>
      </c>
      <c r="C16" s="149"/>
      <c r="D16" s="10">
        <v>2021</v>
      </c>
      <c r="E16" s="24"/>
      <c r="F16" s="63" t="str">
        <f>D15</f>
        <v>ber.m3</v>
      </c>
      <c r="G16" s="145"/>
      <c r="H16" s="145"/>
      <c r="I16" s="145"/>
      <c r="J16" s="145"/>
      <c r="K16" s="62"/>
      <c r="L16" s="10">
        <v>2021</v>
      </c>
      <c r="M16" s="16"/>
      <c r="N16" s="63">
        <f>L15</f>
        <v>0</v>
      </c>
      <c r="O16" s="64"/>
      <c r="P16" s="233"/>
      <c r="Q16" s="233"/>
      <c r="R16" s="233"/>
      <c r="S16" s="233"/>
      <c r="T16" s="221"/>
      <c r="U16" s="4" t="s">
        <v>31</v>
      </c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</row>
    <row r="17" spans="1:40" s="2" customFormat="1" ht="15.75" x14ac:dyDescent="0.25">
      <c r="A17" s="20"/>
      <c r="B17" s="147"/>
      <c r="C17" s="149"/>
      <c r="D17" s="9">
        <v>2022</v>
      </c>
      <c r="E17" s="24"/>
      <c r="F17" s="63" t="str">
        <f>D15</f>
        <v>ber.m3</v>
      </c>
      <c r="G17" s="145"/>
      <c r="H17" s="145"/>
      <c r="I17" s="145"/>
      <c r="J17" s="145"/>
      <c r="K17" s="62"/>
      <c r="L17" s="9">
        <v>2022</v>
      </c>
      <c r="M17" s="17"/>
      <c r="N17" s="63">
        <f>L15</f>
        <v>0</v>
      </c>
      <c r="O17" s="64"/>
      <c r="P17" s="233"/>
      <c r="Q17" s="233"/>
      <c r="R17" s="233"/>
      <c r="S17" s="233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1:40" s="2" customFormat="1" ht="15.75" x14ac:dyDescent="0.25">
      <c r="A18" s="20"/>
      <c r="B18" s="147"/>
      <c r="C18" s="149"/>
      <c r="D18" s="9">
        <v>2023</v>
      </c>
      <c r="E18" s="24"/>
      <c r="F18" s="63" t="str">
        <f>D15</f>
        <v>ber.m3</v>
      </c>
      <c r="G18" s="145"/>
      <c r="H18" s="145"/>
      <c r="I18" s="145"/>
      <c r="J18" s="145"/>
      <c r="K18" s="62"/>
      <c r="L18" s="9">
        <v>2023</v>
      </c>
      <c r="M18" s="17"/>
      <c r="N18" s="63">
        <f>L15</f>
        <v>0</v>
      </c>
      <c r="O18" s="64"/>
      <c r="P18" s="233"/>
      <c r="Q18" s="233"/>
      <c r="R18" s="233"/>
      <c r="S18" s="233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</row>
    <row r="19" spans="1:40" s="2" customFormat="1" ht="15.75" x14ac:dyDescent="0.25">
      <c r="A19" s="20"/>
      <c r="B19" s="143" t="s">
        <v>32</v>
      </c>
      <c r="C19" s="143"/>
      <c r="D19" s="143"/>
      <c r="E19" s="66" t="e">
        <f>AVERAGE(E16:E18)</f>
        <v>#DIV/0!</v>
      </c>
      <c r="F19" s="63" t="str">
        <f>D15</f>
        <v>ber.m3</v>
      </c>
      <c r="G19" s="145" t="str">
        <f>IF(AND(ISNUMBER(E16), ISNUMBER(E17), ISNUMBER(E18)), " ", "Ievadiet kurināmā datus par pēdējiem 3 gadiem!")</f>
        <v>Ievadiet kurināmā datus par pēdējiem 3 gadiem!</v>
      </c>
      <c r="H19" s="145"/>
      <c r="I19" s="145"/>
      <c r="J19" s="145"/>
      <c r="K19" s="62"/>
      <c r="L19" s="62"/>
      <c r="M19" s="66">
        <f>IFERROR(AVERAGE(IF(M16&gt;=1,M16,0),IF(M17&gt;=1,M17,0),IF(M18&gt;=1,M18, )),0)</f>
        <v>0</v>
      </c>
      <c r="N19" s="63">
        <f>L15</f>
        <v>0</v>
      </c>
      <c r="O19" s="64"/>
      <c r="P19" s="64"/>
      <c r="Q19" s="64"/>
      <c r="R19" s="64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</row>
    <row r="20" spans="1:40" s="2" customFormat="1" ht="32.25" customHeight="1" x14ac:dyDescent="0.25">
      <c r="A20" s="20"/>
      <c r="B20" s="142" t="s">
        <v>33</v>
      </c>
      <c r="C20" s="142"/>
      <c r="D20" s="142"/>
      <c r="E20" s="9">
        <f>VLOOKUP('Projekta dati'!D13,Dati!B19:D31,2,FALSE)</f>
        <v>2.1469999999999998</v>
      </c>
      <c r="F20" s="67" t="str">
        <f>VLOOKUP(D15,Dati!D35:E37,2,FALSE)</f>
        <v>MWh/ber.m3</v>
      </c>
      <c r="G20" s="60"/>
      <c r="H20" s="64"/>
      <c r="I20" s="64"/>
      <c r="J20" s="64"/>
      <c r="K20" s="62"/>
      <c r="L20" s="62"/>
      <c r="M20" s="9">
        <f>IFERROR(VLOOKUP('Projekta dati'!L13,Dati!B19:D31,2,FALSE),0)</f>
        <v>0</v>
      </c>
      <c r="N20" s="60" t="e">
        <f>VLOOKUP(L15,Dati!D35:E37,2,FALSE)</f>
        <v>#N/A</v>
      </c>
      <c r="O20" s="60"/>
      <c r="P20" s="64"/>
      <c r="Q20" s="64"/>
      <c r="R20" s="64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</row>
    <row r="21" spans="1:40" s="2" customFormat="1" ht="37.5" customHeight="1" x14ac:dyDescent="0.25">
      <c r="A21" s="20"/>
      <c r="B21" s="142" t="s">
        <v>34</v>
      </c>
      <c r="C21" s="142"/>
      <c r="D21" s="142"/>
      <c r="E21" s="9">
        <f>VLOOKUP(D14,Dati!B3:E11,4,FALSE)</f>
        <v>0.65</v>
      </c>
      <c r="F21" s="68"/>
      <c r="G21" s="64"/>
      <c r="H21" s="64"/>
      <c r="I21" s="64"/>
      <c r="J21" s="64"/>
      <c r="K21" s="62"/>
      <c r="L21" s="62"/>
      <c r="M21" s="9">
        <f>IFERROR(VLOOKUP(L14,Dati!B3:E11,4,FALSE),0)</f>
        <v>0</v>
      </c>
      <c r="N21" s="68"/>
      <c r="O21" s="64"/>
      <c r="P21" s="64"/>
      <c r="Q21" s="64"/>
      <c r="R21" s="64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</row>
    <row r="22" spans="1:40" s="2" customFormat="1" ht="15.75" x14ac:dyDescent="0.25">
      <c r="A22" s="20"/>
      <c r="B22" s="143" t="s">
        <v>35</v>
      </c>
      <c r="C22" s="143"/>
      <c r="D22" s="143"/>
      <c r="E22" s="65">
        <f>IF(Dati!K2=0,1,IF(Dati!K3=0,1,2.5))</f>
        <v>2.5</v>
      </c>
      <c r="F22" s="68"/>
      <c r="G22" s="166" t="s">
        <v>36</v>
      </c>
      <c r="H22" s="166"/>
      <c r="I22" s="166" t="s">
        <v>37</v>
      </c>
      <c r="J22" s="166"/>
      <c r="K22" s="62"/>
      <c r="L22" s="62"/>
      <c r="M22" s="65">
        <f>IF(Dati!L2=0,1,IF(Dati!L3=0,1,2.5))</f>
        <v>1</v>
      </c>
      <c r="N22" s="68"/>
      <c r="O22" s="166" t="s">
        <v>36</v>
      </c>
      <c r="P22" s="166"/>
      <c r="Q22" s="166" t="s">
        <v>37</v>
      </c>
      <c r="R22" s="166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</row>
    <row r="23" spans="1:40" s="2" customFormat="1" ht="15.75" x14ac:dyDescent="0.25">
      <c r="A23" s="20"/>
      <c r="B23" s="1"/>
      <c r="C23" s="154" t="s">
        <v>38</v>
      </c>
      <c r="D23" s="154"/>
      <c r="E23" s="69" t="e">
        <f>ROUND(E19*E20*E21/E22,3)</f>
        <v>#DIV/0!</v>
      </c>
      <c r="F23" s="54" t="s">
        <v>39</v>
      </c>
      <c r="G23" s="167">
        <f>VLOOKUP(D14,Dati!B3:E11,2,FALSE)</f>
        <v>2664</v>
      </c>
      <c r="H23" s="168"/>
      <c r="I23" s="169" t="e">
        <f>E23*G23/1000000</f>
        <v>#DIV/0!</v>
      </c>
      <c r="J23" s="170"/>
      <c r="K23" s="1"/>
      <c r="L23" s="38" t="e">
        <f>M23/(E23+M23)</f>
        <v>#DIV/0!</v>
      </c>
      <c r="M23" s="69">
        <f>M19*M20*M21/M22</f>
        <v>0</v>
      </c>
      <c r="N23" s="54" t="s">
        <v>39</v>
      </c>
      <c r="O23" s="167">
        <f>IFERROR(VLOOKUP(L14,Dati!B3:E11,2,FALSE),0)</f>
        <v>0</v>
      </c>
      <c r="P23" s="168"/>
      <c r="Q23" s="169" t="e">
        <f>ROUND(IF(L23&gt;30%,M23*O23/1000000,0),3)</f>
        <v>#DIV/0!</v>
      </c>
      <c r="R23" s="17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</row>
    <row r="24" spans="1:40" s="2" customFormat="1" ht="9" customHeight="1" thickBot="1" x14ac:dyDescent="0.3">
      <c r="A24" s="20"/>
      <c r="B24" s="1"/>
      <c r="C24" s="7"/>
      <c r="D24" s="7"/>
      <c r="E24" s="7"/>
      <c r="F24" s="1"/>
      <c r="G24" s="1"/>
      <c r="H24" s="1"/>
      <c r="I24" s="1"/>
      <c r="J24" s="1"/>
      <c r="K24" s="1"/>
      <c r="L24" s="1"/>
      <c r="M24" s="7"/>
      <c r="N24" s="1"/>
      <c r="O24" s="1"/>
      <c r="P24" s="1"/>
      <c r="Q24" s="1"/>
      <c r="R24" s="1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</row>
    <row r="25" spans="1:40" s="2" customFormat="1" ht="15.75" x14ac:dyDescent="0.25">
      <c r="A25" s="20"/>
      <c r="B25" s="1"/>
      <c r="C25" s="7"/>
      <c r="D25" s="7"/>
      <c r="E25" s="7"/>
      <c r="F25" s="1"/>
      <c r="G25" s="1"/>
      <c r="H25" s="164" t="s">
        <v>40</v>
      </c>
      <c r="I25" s="165"/>
      <c r="J25" s="1"/>
      <c r="K25" s="1"/>
      <c r="L25" s="1"/>
      <c r="M25" s="7"/>
      <c r="N25" s="1"/>
      <c r="O25" s="1"/>
      <c r="P25" s="1"/>
      <c r="Q25" s="185" t="s">
        <v>41</v>
      </c>
      <c r="R25" s="186"/>
      <c r="S25" s="187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</row>
    <row r="26" spans="1:40" ht="54" customHeight="1" x14ac:dyDescent="0.25">
      <c r="B26" s="155" t="s">
        <v>42</v>
      </c>
      <c r="C26" s="155"/>
      <c r="D26" s="155"/>
      <c r="E26" s="155"/>
      <c r="F26" s="155"/>
      <c r="G26" s="155"/>
      <c r="H26" s="152" t="e">
        <f>ROUND(IF(L23&gt;30%,E23+M23,E23),3)</f>
        <v>#DIV/0!</v>
      </c>
      <c r="I26" s="153"/>
      <c r="J26" s="54" t="s">
        <v>39</v>
      </c>
      <c r="L26" s="181" t="s">
        <v>43</v>
      </c>
      <c r="M26" s="155"/>
      <c r="N26" s="155"/>
      <c r="O26" s="155"/>
      <c r="P26" s="155"/>
      <c r="Q26" s="182" t="e">
        <f>H26</f>
        <v>#DIV/0!</v>
      </c>
      <c r="R26" s="183"/>
      <c r="S26" s="184"/>
      <c r="T26" s="57" t="s">
        <v>39</v>
      </c>
      <c r="U26" s="70"/>
    </row>
    <row r="27" spans="1:40" ht="33" customHeight="1" x14ac:dyDescent="0.25">
      <c r="B27" s="155" t="s">
        <v>45</v>
      </c>
      <c r="C27" s="155"/>
      <c r="D27" s="155"/>
      <c r="E27" s="155"/>
      <c r="F27" s="155"/>
      <c r="G27" s="155"/>
      <c r="H27" s="159" t="e">
        <f>ROUND(H26*1000/I8,1)</f>
        <v>#DIV/0!</v>
      </c>
      <c r="I27" s="160"/>
      <c r="J27" s="54" t="s">
        <v>46</v>
      </c>
      <c r="L27" s="173" t="s">
        <v>47</v>
      </c>
      <c r="M27" s="173"/>
      <c r="N27" s="173"/>
      <c r="O27" s="173"/>
      <c r="P27" s="174"/>
      <c r="Q27" s="175" t="s">
        <v>67</v>
      </c>
      <c r="R27" s="176"/>
      <c r="S27" s="176"/>
      <c r="T27" s="176"/>
      <c r="U27" s="177"/>
    </row>
    <row r="28" spans="1:40" ht="31.5" customHeight="1" x14ac:dyDescent="0.25">
      <c r="B28" s="161" t="s">
        <v>49</v>
      </c>
      <c r="C28" s="155"/>
      <c r="D28" s="155"/>
      <c r="E28" s="155"/>
      <c r="F28" s="155"/>
      <c r="G28" s="155"/>
      <c r="H28" s="162" t="e">
        <f>IF(H27&gt;Dati!K5,"NEATBILST","Atbilst")</f>
        <v>#DIV/0!</v>
      </c>
      <c r="I28" s="163"/>
      <c r="L28" s="71"/>
      <c r="M28" s="156" t="s">
        <v>50</v>
      </c>
      <c r="N28" s="156"/>
      <c r="O28" s="156"/>
      <c r="P28" s="180"/>
      <c r="Q28" s="178">
        <f>IF(Q27=Dati!G6,216,0)</f>
        <v>0</v>
      </c>
      <c r="R28" s="179"/>
      <c r="T28" s="1" t="s">
        <v>51</v>
      </c>
    </row>
    <row r="29" spans="1:40" ht="16.149999999999999" customHeight="1" x14ac:dyDescent="0.25">
      <c r="B29" s="156" t="s">
        <v>52</v>
      </c>
      <c r="C29" s="156"/>
      <c r="D29" s="156"/>
      <c r="E29" s="156"/>
      <c r="F29" s="156"/>
      <c r="G29" s="156"/>
      <c r="H29" s="157" t="e">
        <f>ROUND(I23+Q23,3)</f>
        <v>#DIV/0!</v>
      </c>
      <c r="I29" s="158"/>
      <c r="J29" s="54" t="s">
        <v>53</v>
      </c>
      <c r="L29" s="156" t="s">
        <v>54</v>
      </c>
      <c r="M29" s="156"/>
      <c r="N29" s="156"/>
      <c r="O29" s="156"/>
      <c r="P29" s="156"/>
      <c r="Q29" s="171" t="e">
        <f>Q26*Q28/1000000</f>
        <v>#DIV/0!</v>
      </c>
      <c r="R29" s="172"/>
      <c r="T29" s="1" t="s">
        <v>53</v>
      </c>
    </row>
    <row r="31" spans="1:40" s="19" customFormat="1" x14ac:dyDescent="0.25"/>
    <row r="32" spans="1:40" s="19" customFormat="1" x14ac:dyDescent="0.25"/>
    <row r="33" spans="7:8" s="19" customFormat="1" x14ac:dyDescent="0.25"/>
    <row r="34" spans="7:8" s="19" customFormat="1" x14ac:dyDescent="0.25"/>
    <row r="35" spans="7:8" s="19" customFormat="1" x14ac:dyDescent="0.25">
      <c r="G35" s="19" t="s">
        <v>55</v>
      </c>
      <c r="H35" s="19">
        <f>IF(I8&lt;50, 0, IF(AND(I8&gt;=50, I8&lt;=120), IF(H27&gt;180, 0, IF(AND(H27&gt;=95, H27&lt;=180), 1, 2)), IF(AND(I8&gt;120, I8&lt;=250), IF(H27&gt;150, 0, IF(AND(H27&gt;=90, H27&lt;=150), 1, 2)), IF(H27&gt;125, 0, IF(AND(H27&gt;=80, H27&lt;=125), 1, 2)))))</f>
        <v>0</v>
      </c>
    </row>
    <row r="36" spans="7:8" s="19" customFormat="1" x14ac:dyDescent="0.25"/>
    <row r="37" spans="7:8" s="19" customFormat="1" x14ac:dyDescent="0.25"/>
    <row r="38" spans="7:8" s="19" customFormat="1" x14ac:dyDescent="0.25"/>
    <row r="39" spans="7:8" s="19" customFormat="1" x14ac:dyDescent="0.25"/>
    <row r="40" spans="7:8" s="19" customFormat="1" x14ac:dyDescent="0.25"/>
    <row r="41" spans="7:8" s="19" customFormat="1" x14ac:dyDescent="0.25"/>
    <row r="42" spans="7:8" s="19" customFormat="1" x14ac:dyDescent="0.25"/>
    <row r="43" spans="7:8" s="19" customFormat="1" x14ac:dyDescent="0.25"/>
    <row r="44" spans="7:8" s="19" customFormat="1" x14ac:dyDescent="0.25"/>
    <row r="45" spans="7:8" s="19" customFormat="1" x14ac:dyDescent="0.25"/>
    <row r="46" spans="7:8" s="19" customFormat="1" x14ac:dyDescent="0.25"/>
    <row r="47" spans="7:8" s="19" customFormat="1" x14ac:dyDescent="0.25"/>
    <row r="48" spans="7:8" s="19" customFormat="1" x14ac:dyDescent="0.25"/>
    <row r="49" s="19" customFormat="1" x14ac:dyDescent="0.25"/>
    <row r="50" s="19" customFormat="1" x14ac:dyDescent="0.25"/>
    <row r="51" s="19" customFormat="1" x14ac:dyDescent="0.25"/>
    <row r="52" s="19" customFormat="1" x14ac:dyDescent="0.25"/>
    <row r="53" s="19" customFormat="1" x14ac:dyDescent="0.25"/>
    <row r="54" s="19" customFormat="1" x14ac:dyDescent="0.25"/>
    <row r="55" s="19" customFormat="1" x14ac:dyDescent="0.25"/>
    <row r="56" s="19" customFormat="1" x14ac:dyDescent="0.25"/>
    <row r="57" s="19" customFormat="1" x14ac:dyDescent="0.25"/>
    <row r="58" s="19" customFormat="1" x14ac:dyDescent="0.25"/>
    <row r="59" s="19" customFormat="1" x14ac:dyDescent="0.25"/>
    <row r="60" s="19" customFormat="1" x14ac:dyDescent="0.25"/>
    <row r="61" s="19" customFormat="1" x14ac:dyDescent="0.25"/>
    <row r="62" s="19" customFormat="1" x14ac:dyDescent="0.25"/>
    <row r="63" s="19" customFormat="1" x14ac:dyDescent="0.25"/>
    <row r="64" s="19" customFormat="1" x14ac:dyDescent="0.25"/>
    <row r="65" s="19" customFormat="1" x14ac:dyDescent="0.25"/>
    <row r="66" s="19" customFormat="1" x14ac:dyDescent="0.25"/>
    <row r="67" s="19" customFormat="1" x14ac:dyDescent="0.25"/>
    <row r="68" s="19" customFormat="1" x14ac:dyDescent="0.25"/>
    <row r="69" s="19" customFormat="1" x14ac:dyDescent="0.25"/>
    <row r="70" s="19" customFormat="1" x14ac:dyDescent="0.25"/>
    <row r="71" s="19" customFormat="1" x14ac:dyDescent="0.25"/>
    <row r="72" s="19" customFormat="1" x14ac:dyDescent="0.25"/>
    <row r="73" s="19" customFormat="1" x14ac:dyDescent="0.25"/>
    <row r="74" s="19" customFormat="1" x14ac:dyDescent="0.25"/>
    <row r="75" s="19" customFormat="1" x14ac:dyDescent="0.25"/>
  </sheetData>
  <sheetProtection algorithmName="SHA-512" hashValue="rySKPfNFDmTSfJoCy1G2Beo1GMsAkI6WGswPYgTC7KCKyoHEamdBkRJ1ACWsL5gXTJxIf+KRIvDk715Jnom0EA==" saltValue="hD15U2w1T2e9Fqcr4Jc6LA==" spinCount="100000" sheet="1" objects="1" scenarios="1" selectLockedCells="1"/>
  <mergeCells count="73">
    <mergeCell ref="T15:T16"/>
    <mergeCell ref="P12:S14"/>
    <mergeCell ref="T12:T13"/>
    <mergeCell ref="D12:G12"/>
    <mergeCell ref="H15:J15"/>
    <mergeCell ref="L13:O13"/>
    <mergeCell ref="L14:O14"/>
    <mergeCell ref="L15:O15"/>
    <mergeCell ref="L12:O12"/>
    <mergeCell ref="G16:H16"/>
    <mergeCell ref="P15:S18"/>
    <mergeCell ref="I17:J17"/>
    <mergeCell ref="I18:J18"/>
    <mergeCell ref="B2:E5"/>
    <mergeCell ref="F2:K2"/>
    <mergeCell ref="F5:K5"/>
    <mergeCell ref="M5:U5"/>
    <mergeCell ref="C11:R11"/>
    <mergeCell ref="C7:E7"/>
    <mergeCell ref="F4:K4"/>
    <mergeCell ref="M2:U4"/>
    <mergeCell ref="K10:L10"/>
    <mergeCell ref="F7:J7"/>
    <mergeCell ref="K8:L8"/>
    <mergeCell ref="M7:S7"/>
    <mergeCell ref="C8:H8"/>
    <mergeCell ref="C9:H9"/>
    <mergeCell ref="C10:H10"/>
    <mergeCell ref="F3:K3"/>
    <mergeCell ref="L26:P26"/>
    <mergeCell ref="Q26:S26"/>
    <mergeCell ref="Q25:S25"/>
    <mergeCell ref="O22:P22"/>
    <mergeCell ref="Q22:R22"/>
    <mergeCell ref="O23:P23"/>
    <mergeCell ref="Q23:R23"/>
    <mergeCell ref="Q29:R29"/>
    <mergeCell ref="L27:P27"/>
    <mergeCell ref="L29:P29"/>
    <mergeCell ref="Q27:U27"/>
    <mergeCell ref="Q28:R28"/>
    <mergeCell ref="M28:P28"/>
    <mergeCell ref="B22:D22"/>
    <mergeCell ref="H26:I26"/>
    <mergeCell ref="C23:D23"/>
    <mergeCell ref="B26:G26"/>
    <mergeCell ref="B29:G29"/>
    <mergeCell ref="H29:I29"/>
    <mergeCell ref="B27:G27"/>
    <mergeCell ref="H27:I27"/>
    <mergeCell ref="B28:G28"/>
    <mergeCell ref="H28:I28"/>
    <mergeCell ref="H25:I25"/>
    <mergeCell ref="G22:H22"/>
    <mergeCell ref="G23:H23"/>
    <mergeCell ref="I22:J22"/>
    <mergeCell ref="I23:J23"/>
    <mergeCell ref="N9:S9"/>
    <mergeCell ref="B21:D21"/>
    <mergeCell ref="B20:D20"/>
    <mergeCell ref="B19:D19"/>
    <mergeCell ref="D14:G14"/>
    <mergeCell ref="D13:G13"/>
    <mergeCell ref="D15:G15"/>
    <mergeCell ref="G18:H18"/>
    <mergeCell ref="I16:J16"/>
    <mergeCell ref="B13:C13"/>
    <mergeCell ref="B14:C14"/>
    <mergeCell ref="B15:C15"/>
    <mergeCell ref="B16:C18"/>
    <mergeCell ref="G17:H17"/>
    <mergeCell ref="N10:S10"/>
    <mergeCell ref="G19:J19"/>
  </mergeCells>
  <phoneticPr fontId="20" type="noConversion"/>
  <conditionalFormatting sqref="C11:C12 K13:K22">
    <cfRule type="expression" dxfId="23" priority="34">
      <formula>#REF!=0</formula>
    </cfRule>
  </conditionalFormatting>
  <conditionalFormatting sqref="G19">
    <cfRule type="expression" dxfId="22" priority="1">
      <formula>$G$19="Ievadiet kurināmā datus par pēdējiem 3 gadiem!"</formula>
    </cfRule>
  </conditionalFormatting>
  <conditionalFormatting sqref="H28:I28">
    <cfRule type="expression" dxfId="21" priority="2">
      <formula>$H$28="NEATBILST"</formula>
    </cfRule>
    <cfRule type="expression" dxfId="20" priority="3">
      <formula>$H$28="Atbilst"</formula>
    </cfRule>
  </conditionalFormatting>
  <conditionalFormatting sqref="K14:K22 D13:D18 L13:L18">
    <cfRule type="expression" dxfId="19" priority="35">
      <formula>#REF!=1</formula>
    </cfRule>
  </conditionalFormatting>
  <conditionalFormatting sqref="T15">
    <cfRule type="expression" dxfId="18" priority="36">
      <formula>$T$15&lt;80</formula>
    </cfRule>
  </conditionalFormatting>
  <dataValidations count="4">
    <dataValidation allowBlank="1" showErrorMessage="1" errorTitle="KĻŪDA" error="Tikai veseli skaitļi robežās no 0 līdz 10000000" sqref="C11:C12 K13" xr:uid="{00000000-0002-0000-0000-000000000000}"/>
    <dataValidation type="decimal" allowBlank="1" showErrorMessage="1" errorTitle="KĻŪDA" error="Tikai skaitļi no 0 līdz 1" sqref="K14:K22" xr:uid="{00000000-0002-0000-0000-000002000000}">
      <formula1>0.1</formula1>
      <formula2>1</formula2>
    </dataValidation>
    <dataValidation type="decimal" operator="greaterThanOrEqual" allowBlank="1" showInputMessage="1" showErrorMessage="1" error="Lūdzu ievadiet decimālskaitli, izmantojot &quot;.&quot;!" sqref="I8:I10" xr:uid="{9C8D1CE9-689B-421E-BE21-9F634306E37A}">
      <formula1>0</formula1>
    </dataValidation>
    <dataValidation type="decimal" operator="greaterThanOrEqual" allowBlank="1" showInputMessage="1" showErrorMessage="1" error="Lūdzu ievadiet decimālskaitli, izmantojot '.' punktu." sqref="E16:E18" xr:uid="{913380F8-7C70-4CC4-BD77-326F67107E62}">
      <formula1>0</formula1>
    </dataValidation>
  </dataValidations>
  <printOptions horizontalCentered="1"/>
  <pageMargins left="0.11811023622047245" right="0.11811023622047245" top="0.55118110236220474" bottom="0.55118110236220474" header="0.31496062992125984" footer="0.31496062992125984"/>
  <pageSetup paperSize="9" scale="53" orientation="portrait" horizontalDpi="1200" verticalDpi="1200" r:id="rId1"/>
  <headerFooter>
    <oddFooter>&amp;R&amp;A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Dati!$B$3:$B$11</xm:f>
          </x14:formula1>
          <xm:sqref>D14 L14</xm:sqref>
        </x14:dataValidation>
        <x14:dataValidation type="list" allowBlank="1" showInputMessage="1" showErrorMessage="1" xr:uid="{66162AB3-2032-4BBD-897F-7F15735B7DE8}">
          <x14:formula1>
            <xm:f>Dati!$B$19:$B$31</xm:f>
          </x14:formula1>
          <xm:sqref>D13 L13</xm:sqref>
        </x14:dataValidation>
        <x14:dataValidation type="list" allowBlank="1" showInputMessage="1" showErrorMessage="1" xr:uid="{1CA8D253-5B93-40D1-AF93-09C7659EC919}">
          <x14:formula1>
            <xm:f>Dati!$F$19:$F$22</xm:f>
          </x14:formula1>
          <xm:sqref>D15 L15</xm:sqref>
        </x14:dataValidation>
        <x14:dataValidation type="list" allowBlank="1" showInputMessage="1" showErrorMessage="1" xr:uid="{126B7F56-6B69-4D0B-A332-968202B45394}">
          <x14:formula1>
            <xm:f>Dati!$G$6:$G$9</xm:f>
          </x14:formula1>
          <xm:sqref>Q27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FFD77-7B55-4C57-AEEE-13E799D59A35}">
  <sheetPr>
    <tabColor rgb="FFFF0000"/>
  </sheetPr>
  <dimension ref="A1:N43"/>
  <sheetViews>
    <sheetView topLeftCell="A4" workbookViewId="0">
      <selection activeCell="B9" sqref="B9:B10"/>
    </sheetView>
  </sheetViews>
  <sheetFormatPr defaultRowHeight="15" x14ac:dyDescent="0.25"/>
  <cols>
    <col min="1" max="1" width="9.140625" customWidth="1"/>
    <col min="2" max="2" width="15" customWidth="1"/>
    <col min="3" max="3" width="9.28515625" customWidth="1"/>
    <col min="4" max="4" width="6" customWidth="1"/>
    <col min="5" max="5" width="63.5703125" customWidth="1"/>
    <col min="6" max="6" width="19.7109375" customWidth="1"/>
    <col min="7" max="7" width="12.7109375" customWidth="1"/>
    <col min="8" max="8" width="13.85546875" customWidth="1"/>
    <col min="9" max="9" width="9.7109375" customWidth="1"/>
    <col min="10" max="10" width="5.28515625" customWidth="1"/>
    <col min="11" max="11" width="10.28515625" hidden="1" customWidth="1"/>
    <col min="12" max="12" width="16.42578125" customWidth="1"/>
    <col min="13" max="13" width="12.28515625" customWidth="1"/>
  </cols>
  <sheetData>
    <row r="1" spans="1:14" x14ac:dyDescent="0.25">
      <c r="A1" s="247" t="s">
        <v>115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1:14" x14ac:dyDescent="0.25">
      <c r="A2" s="235" t="s">
        <v>118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4" x14ac:dyDescent="0.25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</row>
    <row r="4" spans="1:14" x14ac:dyDescent="0.25">
      <c r="A4" s="234" t="s">
        <v>122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14" x14ac:dyDescent="0.25">
      <c r="A5" s="248" t="s">
        <v>116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</row>
    <row r="6" spans="1:14" x14ac:dyDescent="0.25">
      <c r="A6" s="248" t="s">
        <v>121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</row>
    <row r="7" spans="1:14" x14ac:dyDescent="0.25">
      <c r="A7" s="249" t="s">
        <v>119</v>
      </c>
      <c r="B7" s="250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</row>
    <row r="8" spans="1:14" ht="30" customHeight="1" x14ac:dyDescent="0.25">
      <c r="A8" s="48" t="s">
        <v>93</v>
      </c>
      <c r="B8" s="48" t="s">
        <v>120</v>
      </c>
      <c r="C8" s="48" t="s">
        <v>117</v>
      </c>
      <c r="D8" s="240" t="s">
        <v>95</v>
      </c>
      <c r="E8" s="240"/>
      <c r="F8" s="42" t="s">
        <v>72</v>
      </c>
      <c r="G8" s="48" t="s">
        <v>97</v>
      </c>
      <c r="H8" s="48" t="s">
        <v>98</v>
      </c>
      <c r="I8" s="48" t="s">
        <v>99</v>
      </c>
      <c r="J8" s="42" t="s">
        <v>100</v>
      </c>
      <c r="K8" s="48" t="s">
        <v>101</v>
      </c>
      <c r="L8" s="48" t="s">
        <v>102</v>
      </c>
      <c r="M8" s="49" t="s">
        <v>107</v>
      </c>
    </row>
    <row r="9" spans="1:14" x14ac:dyDescent="0.25">
      <c r="A9" s="236">
        <v>1</v>
      </c>
      <c r="B9" s="242" t="s">
        <v>123</v>
      </c>
      <c r="C9" s="241">
        <v>20</v>
      </c>
      <c r="D9" s="43">
        <v>1</v>
      </c>
      <c r="E9" s="139" t="s">
        <v>24</v>
      </c>
      <c r="F9" s="139" t="s">
        <v>87</v>
      </c>
      <c r="G9" s="139" t="s">
        <v>79</v>
      </c>
      <c r="H9" s="139"/>
      <c r="I9">
        <f>IFERROR(VLOOKUP(F9,Dati!$B$19:$F$34,2,FALSE),"")</f>
        <v>4.8730000000000002</v>
      </c>
      <c r="J9">
        <f>IFERROR(VLOOKUP(E9,Dati!$B$3:$E$18,4,FALSE),"")</f>
        <v>0.85</v>
      </c>
      <c r="K9">
        <f>IF(F9="Elektroenerģija",1,IF(F9="Siltumenerģija",1,IF(Dati!I26=1,1000/2.5,1000)))</f>
        <v>1000</v>
      </c>
      <c r="L9" s="40">
        <f>IFERROR(H9*I9*J9*K9,0)</f>
        <v>0</v>
      </c>
      <c r="M9" s="239">
        <f>IFERROR((L9+L10)/C9,0)</f>
        <v>0</v>
      </c>
    </row>
    <row r="10" spans="1:14" x14ac:dyDescent="0.25">
      <c r="A10" s="236"/>
      <c r="B10" s="243"/>
      <c r="C10" s="241"/>
      <c r="D10" s="43">
        <v>2</v>
      </c>
      <c r="E10" s="139"/>
      <c r="F10" s="139"/>
      <c r="G10" s="139"/>
      <c r="H10" s="139"/>
      <c r="I10" t="str">
        <f>IFERROR(VLOOKUP(F10,Dati!$B$19:$F$34,2,FALSE),"")</f>
        <v/>
      </c>
      <c r="J10" t="str">
        <f>IFERROR(VLOOKUP(E10,Dati!$B$3:$E$18,4,FALSE),"")</f>
        <v/>
      </c>
      <c r="K10">
        <f>IF(F10="Elektroenerģija",1,IF(F10="Siltumenerģija",1,IF(Dati!I27=1,1000/2.5,1000)))</f>
        <v>1000</v>
      </c>
      <c r="L10" s="40">
        <f t="shared" ref="L10:L40" si="0">IFERROR(H10*I10*J10*K10,0)</f>
        <v>0</v>
      </c>
      <c r="M10" s="239"/>
    </row>
    <row r="11" spans="1:14" x14ac:dyDescent="0.25">
      <c r="A11" s="236">
        <v>2</v>
      </c>
      <c r="B11" s="242"/>
      <c r="C11" s="241"/>
      <c r="D11" s="43">
        <v>1</v>
      </c>
      <c r="E11" s="139"/>
      <c r="F11" s="139"/>
      <c r="G11" s="139"/>
      <c r="H11" s="139"/>
      <c r="I11" t="str">
        <f>IFERROR(VLOOKUP(F11,Dati!$B$19:$F$34,2,FALSE),"")</f>
        <v/>
      </c>
      <c r="J11" t="str">
        <f>IFERROR(VLOOKUP(E11,Dati!$B$3:$E$18,4,FALSE),"")</f>
        <v/>
      </c>
      <c r="K11">
        <f>IF(F11="Elektroenerģija",1,IF(F11="Siltumenerģija",1,IF(Dati!I28=1,1000/2.5,1000)))</f>
        <v>1000</v>
      </c>
      <c r="L11" s="40">
        <f t="shared" si="0"/>
        <v>0</v>
      </c>
      <c r="M11" s="239">
        <f t="shared" ref="M11" si="1">IFERROR((L11+L12)/C11,0)</f>
        <v>0</v>
      </c>
    </row>
    <row r="12" spans="1:14" x14ac:dyDescent="0.25">
      <c r="A12" s="236"/>
      <c r="B12" s="243"/>
      <c r="C12" s="241"/>
      <c r="D12" s="43">
        <v>2</v>
      </c>
      <c r="E12" s="139"/>
      <c r="F12" s="139"/>
      <c r="G12" s="139"/>
      <c r="H12" s="139"/>
      <c r="I12" t="str">
        <f>IFERROR(VLOOKUP(F12,Dati!$B$19:$F$34,2,FALSE),"")</f>
        <v/>
      </c>
      <c r="J12" t="str">
        <f>IFERROR(VLOOKUP(E12,Dati!$B$3:$E$18,4,FALSE),"")</f>
        <v/>
      </c>
      <c r="K12">
        <f>IF(F12="Elektroenerģija",1,IF(F12="Siltumenerģija",1,IF(Dati!I29=1,1000/2.5,1000)))</f>
        <v>1000</v>
      </c>
      <c r="L12" s="40">
        <f t="shared" si="0"/>
        <v>0</v>
      </c>
      <c r="M12" s="239"/>
    </row>
    <row r="13" spans="1:14" x14ac:dyDescent="0.25">
      <c r="A13" s="236">
        <v>3</v>
      </c>
      <c r="B13" s="242"/>
      <c r="C13" s="241"/>
      <c r="D13" s="43">
        <v>1</v>
      </c>
      <c r="E13" s="139"/>
      <c r="F13" s="139"/>
      <c r="G13" s="139"/>
      <c r="H13" s="139"/>
      <c r="I13" t="str">
        <f>IFERROR(VLOOKUP(F13,Dati!$B$19:$F$34,2,FALSE),"")</f>
        <v/>
      </c>
      <c r="J13" t="str">
        <f>IFERROR(VLOOKUP(E13,Dati!$B$3:$E$18,4,FALSE),"")</f>
        <v/>
      </c>
      <c r="K13">
        <f>IF(F13="Elektroenerģija",1,IF(F13="Siltumenerģija",1,IF(Dati!I30=1,1000/2.5,1000)))</f>
        <v>1000</v>
      </c>
      <c r="L13" s="40">
        <f t="shared" si="0"/>
        <v>0</v>
      </c>
      <c r="M13" s="239">
        <f t="shared" ref="M13" si="2">IFERROR((L13+L14)/C13,0)</f>
        <v>0</v>
      </c>
    </row>
    <row r="14" spans="1:14" x14ac:dyDescent="0.25">
      <c r="A14" s="236"/>
      <c r="B14" s="243"/>
      <c r="C14" s="241"/>
      <c r="D14" s="43">
        <v>2</v>
      </c>
      <c r="E14" s="139"/>
      <c r="F14" s="139"/>
      <c r="G14" s="139"/>
      <c r="H14" s="139"/>
      <c r="I14" t="str">
        <f>IFERROR(VLOOKUP(F14,Dati!$B$19:$F$34,2,FALSE),"")</f>
        <v/>
      </c>
      <c r="J14" t="str">
        <f>IFERROR(VLOOKUP(E14,Dati!$B$3:$E$18,4,FALSE),"")</f>
        <v/>
      </c>
      <c r="K14">
        <f>IF(F14="Elektroenerģija",1,IF(F14="Siltumenerģija",1,IF(Dati!I31=1,1000/2.5,1000)))</f>
        <v>1000</v>
      </c>
      <c r="L14" s="40">
        <f t="shared" si="0"/>
        <v>0</v>
      </c>
      <c r="M14" s="239"/>
    </row>
    <row r="15" spans="1:14" x14ac:dyDescent="0.25">
      <c r="A15" s="236">
        <v>4</v>
      </c>
      <c r="B15" s="242"/>
      <c r="C15" s="241"/>
      <c r="D15" s="43">
        <v>1</v>
      </c>
      <c r="E15" s="139"/>
      <c r="F15" s="139"/>
      <c r="G15" s="139"/>
      <c r="H15" s="139"/>
      <c r="I15" t="str">
        <f>IFERROR(VLOOKUP(F15,Dati!$B$19:$F$34,2,FALSE),"")</f>
        <v/>
      </c>
      <c r="J15" t="str">
        <f>IFERROR(VLOOKUP(E15,Dati!$B$3:$E$18,4,FALSE),"")</f>
        <v/>
      </c>
      <c r="K15">
        <f>IF(F15="Elektroenerģija",1,IF(F15="Siltumenerģija",1,IF(Dati!I32=1,1000/2.5,1000)))</f>
        <v>1000</v>
      </c>
      <c r="L15" s="40">
        <f t="shared" si="0"/>
        <v>0</v>
      </c>
      <c r="M15" s="239">
        <f t="shared" ref="M15" si="3">IFERROR((L15+L16)/C15,0)</f>
        <v>0</v>
      </c>
    </row>
    <row r="16" spans="1:14" x14ac:dyDescent="0.25">
      <c r="A16" s="236"/>
      <c r="B16" s="243"/>
      <c r="C16" s="241"/>
      <c r="D16" s="43">
        <v>2</v>
      </c>
      <c r="E16" s="139"/>
      <c r="F16" s="139"/>
      <c r="G16" s="139"/>
      <c r="H16" s="139"/>
      <c r="I16" t="str">
        <f>IFERROR(VLOOKUP(F16,Dati!$B$19:$F$34,2,FALSE),"")</f>
        <v/>
      </c>
      <c r="J16" t="str">
        <f>IFERROR(VLOOKUP(E16,Dati!$B$3:$E$18,4,FALSE),"")</f>
        <v/>
      </c>
      <c r="K16">
        <f>IF(F16="Elektroenerģija",1,IF(F16="Siltumenerģija",1,IF(Dati!I33=1,1000/2.5,1000)))</f>
        <v>1000</v>
      </c>
      <c r="L16" s="40">
        <f t="shared" si="0"/>
        <v>0</v>
      </c>
      <c r="M16" s="239"/>
    </row>
    <row r="17" spans="1:13" x14ac:dyDescent="0.25">
      <c r="A17" s="236">
        <v>5</v>
      </c>
      <c r="B17" s="242"/>
      <c r="C17" s="241"/>
      <c r="D17" s="43">
        <v>1</v>
      </c>
      <c r="E17" s="139"/>
      <c r="F17" s="139"/>
      <c r="G17" s="139"/>
      <c r="H17" s="139"/>
      <c r="I17" t="str">
        <f>IFERROR(VLOOKUP(F17,Dati!$B$19:$F$34,2,FALSE),"")</f>
        <v/>
      </c>
      <c r="J17" t="str">
        <f>IFERROR(VLOOKUP(E17,Dati!$B$3:$E$18,4,FALSE),"")</f>
        <v/>
      </c>
      <c r="K17">
        <f>IF(F17="Elektroenerģija",1,IF(F17="Siltumenerģija",1,IF(Dati!I34=1,1000/2.5,1000)))</f>
        <v>1000</v>
      </c>
      <c r="L17" s="40">
        <f t="shared" si="0"/>
        <v>0</v>
      </c>
      <c r="M17" s="239">
        <f t="shared" ref="M17" si="4">IFERROR((L17+L18)/C17,0)</f>
        <v>0</v>
      </c>
    </row>
    <row r="18" spans="1:13" x14ac:dyDescent="0.25">
      <c r="A18" s="236"/>
      <c r="B18" s="243"/>
      <c r="C18" s="241"/>
      <c r="D18" s="43">
        <v>2</v>
      </c>
      <c r="E18" s="139"/>
      <c r="F18" s="139"/>
      <c r="G18" s="139"/>
      <c r="H18" s="139"/>
      <c r="I18" t="str">
        <f>IFERROR(VLOOKUP(F18,Dati!$B$19:$F$34,2,FALSE),"")</f>
        <v/>
      </c>
      <c r="J18" t="str">
        <f>IFERROR(VLOOKUP(E18,Dati!$B$3:$E$18,4,FALSE),"")</f>
        <v/>
      </c>
      <c r="K18">
        <f>IF(F18="Elektroenerģija",1,IF(F18="Siltumenerģija",1,IF(Dati!I35=1,1000/2.5,1000)))</f>
        <v>1000</v>
      </c>
      <c r="L18" s="40">
        <f t="shared" si="0"/>
        <v>0</v>
      </c>
      <c r="M18" s="239"/>
    </row>
    <row r="19" spans="1:13" x14ac:dyDescent="0.25">
      <c r="A19" s="236">
        <v>6</v>
      </c>
      <c r="B19" s="242"/>
      <c r="C19" s="241"/>
      <c r="D19" s="43">
        <v>1</v>
      </c>
      <c r="E19" s="139"/>
      <c r="F19" s="139"/>
      <c r="G19" s="139"/>
      <c r="H19" s="139"/>
      <c r="I19" t="str">
        <f>IFERROR(VLOOKUP(F19,Dati!$B$19:$F$34,2,FALSE),"")</f>
        <v/>
      </c>
      <c r="J19" t="str">
        <f>IFERROR(VLOOKUP(E19,Dati!$B$3:$E$18,4,FALSE),"")</f>
        <v/>
      </c>
      <c r="K19">
        <f>IF(F19="Elektroenerģija",1,IF(F19="Siltumenerģija",1,IF(Dati!I36=1,1000/2.5,1000)))</f>
        <v>1000</v>
      </c>
      <c r="L19" s="40">
        <f t="shared" si="0"/>
        <v>0</v>
      </c>
      <c r="M19" s="239">
        <f t="shared" ref="M19" si="5">IFERROR((L19+L20)/C19,0)</f>
        <v>0</v>
      </c>
    </row>
    <row r="20" spans="1:13" x14ac:dyDescent="0.25">
      <c r="A20" s="236"/>
      <c r="B20" s="243"/>
      <c r="C20" s="241"/>
      <c r="D20" s="43">
        <v>2</v>
      </c>
      <c r="E20" s="139"/>
      <c r="F20" s="139"/>
      <c r="G20" s="139"/>
      <c r="H20" s="139"/>
      <c r="I20" t="str">
        <f>IFERROR(VLOOKUP(F20,Dati!$B$19:$F$34,2,FALSE),"")</f>
        <v/>
      </c>
      <c r="J20" t="str">
        <f>IFERROR(VLOOKUP(E20,Dati!$B$3:$E$18,4,FALSE),"")</f>
        <v/>
      </c>
      <c r="K20">
        <f>IF(F20="Elektroenerģija",1,IF(F20="Siltumenerģija",1,IF(Dati!I37=1,1000/2.5,1000)))</f>
        <v>1000</v>
      </c>
      <c r="L20" s="40">
        <f t="shared" si="0"/>
        <v>0</v>
      </c>
      <c r="M20" s="239"/>
    </row>
    <row r="21" spans="1:13" x14ac:dyDescent="0.25">
      <c r="A21" s="236">
        <v>7</v>
      </c>
      <c r="B21" s="242"/>
      <c r="C21" s="241"/>
      <c r="D21" s="43">
        <v>1</v>
      </c>
      <c r="E21" s="139"/>
      <c r="F21" s="139"/>
      <c r="G21" s="139"/>
      <c r="H21" s="139"/>
      <c r="I21" t="str">
        <f>IFERROR(VLOOKUP(F21,Dati!$B$19:$F$34,2,FALSE),"")</f>
        <v/>
      </c>
      <c r="J21" t="str">
        <f>IFERROR(VLOOKUP(E21,Dati!$B$3:$E$18,4,FALSE),"")</f>
        <v/>
      </c>
      <c r="K21">
        <f>IF(F21="Elektroenerģija",1,IF(F21="Siltumenerģija",1,IF(Dati!I38=1,1000/2.5,1000)))</f>
        <v>1000</v>
      </c>
      <c r="L21" s="40">
        <f t="shared" si="0"/>
        <v>0</v>
      </c>
      <c r="M21" s="239">
        <f t="shared" ref="M21" si="6">IFERROR((L21+L22)/C21,0)</f>
        <v>0</v>
      </c>
    </row>
    <row r="22" spans="1:13" x14ac:dyDescent="0.25">
      <c r="A22" s="236"/>
      <c r="B22" s="243"/>
      <c r="C22" s="241"/>
      <c r="D22" s="43">
        <v>2</v>
      </c>
      <c r="E22" s="139"/>
      <c r="F22" s="139"/>
      <c r="G22" s="139"/>
      <c r="H22" s="139"/>
      <c r="I22" t="str">
        <f>IFERROR(VLOOKUP(F22,Dati!$B$19:$F$34,2,FALSE),"")</f>
        <v/>
      </c>
      <c r="J22" t="str">
        <f>IFERROR(VLOOKUP(E22,Dati!$B$3:$E$18,4,FALSE),"")</f>
        <v/>
      </c>
      <c r="K22">
        <f>IF(F22="Elektroenerģija",1,IF(F22="Siltumenerģija",1,IF(Dati!I39=1,1000/2.5,1000)))</f>
        <v>1000</v>
      </c>
      <c r="L22" s="40">
        <f t="shared" si="0"/>
        <v>0</v>
      </c>
      <c r="M22" s="239"/>
    </row>
    <row r="23" spans="1:13" x14ac:dyDescent="0.25">
      <c r="A23" s="236">
        <v>8</v>
      </c>
      <c r="B23" s="242"/>
      <c r="C23" s="241"/>
      <c r="D23" s="43">
        <v>1</v>
      </c>
      <c r="E23" s="139"/>
      <c r="F23" s="139"/>
      <c r="G23" s="139"/>
      <c r="H23" s="139"/>
      <c r="I23" t="str">
        <f>IFERROR(VLOOKUP(F23,Dati!$B$19:$F$34,2,FALSE),"")</f>
        <v/>
      </c>
      <c r="J23" t="str">
        <f>IFERROR(VLOOKUP(E23,Dati!$B$3:$E$18,4,FALSE),"")</f>
        <v/>
      </c>
      <c r="K23">
        <f>IF(F23="Elektroenerģija",1,IF(F23="Siltumenerģija",1,IF(Dati!I40=1,1000/2.5,1000)))</f>
        <v>1000</v>
      </c>
      <c r="L23" s="40">
        <f t="shared" si="0"/>
        <v>0</v>
      </c>
      <c r="M23" s="239">
        <f t="shared" ref="M23" si="7">IFERROR((L23+L24)/C23,0)</f>
        <v>0</v>
      </c>
    </row>
    <row r="24" spans="1:13" x14ac:dyDescent="0.25">
      <c r="A24" s="236"/>
      <c r="B24" s="243"/>
      <c r="C24" s="241"/>
      <c r="D24" s="43">
        <v>2</v>
      </c>
      <c r="E24" s="139"/>
      <c r="F24" s="139"/>
      <c r="G24" s="139"/>
      <c r="H24" s="139"/>
      <c r="I24" t="str">
        <f>IFERROR(VLOOKUP(F24,Dati!$B$19:$F$34,2,FALSE),"")</f>
        <v/>
      </c>
      <c r="J24" t="str">
        <f>IFERROR(VLOOKUP(E24,Dati!$B$3:$E$18,4,FALSE),"")</f>
        <v/>
      </c>
      <c r="K24">
        <f>IF(F24="Elektroenerģija",1,IF(F24="Siltumenerģija",1,IF(Dati!I41=1,1000/2.5,1000)))</f>
        <v>1000</v>
      </c>
      <c r="L24" s="40">
        <f t="shared" si="0"/>
        <v>0</v>
      </c>
      <c r="M24" s="239"/>
    </row>
    <row r="25" spans="1:13" x14ac:dyDescent="0.25">
      <c r="A25" s="236">
        <v>9</v>
      </c>
      <c r="B25" s="242"/>
      <c r="C25" s="241"/>
      <c r="D25" s="43">
        <v>1</v>
      </c>
      <c r="E25" s="139"/>
      <c r="F25" s="139"/>
      <c r="G25" s="139"/>
      <c r="H25" s="139"/>
      <c r="I25" t="str">
        <f>IFERROR(VLOOKUP(F25,Dati!$B$19:$F$34,2,FALSE),"")</f>
        <v/>
      </c>
      <c r="J25" t="str">
        <f>IFERROR(VLOOKUP(E25,Dati!$B$3:$E$18,4,FALSE),"")</f>
        <v/>
      </c>
      <c r="K25">
        <f>IF(F25="Elektroenerģija",1,IF(F25="Siltumenerģija",1,IF(Dati!I42=1,1000/2.5,1000)))</f>
        <v>1000</v>
      </c>
      <c r="L25" s="40">
        <f t="shared" si="0"/>
        <v>0</v>
      </c>
      <c r="M25" s="239">
        <f t="shared" ref="M25" si="8">IFERROR((L25+L26)/C25,0)</f>
        <v>0</v>
      </c>
    </row>
    <row r="26" spans="1:13" x14ac:dyDescent="0.25">
      <c r="A26" s="236"/>
      <c r="B26" s="243"/>
      <c r="C26" s="241"/>
      <c r="D26" s="43">
        <v>2</v>
      </c>
      <c r="E26" s="139"/>
      <c r="F26" s="139"/>
      <c r="G26" s="139"/>
      <c r="H26" s="139"/>
      <c r="I26" t="str">
        <f>IFERROR(VLOOKUP(F26,Dati!$B$19:$F$34,2,FALSE),"")</f>
        <v/>
      </c>
      <c r="J26" t="str">
        <f>IFERROR(VLOOKUP(E26,Dati!$B$3:$E$18,4,FALSE),"")</f>
        <v/>
      </c>
      <c r="K26">
        <f>IF(F26="Elektroenerģija",1,IF(F26="Siltumenerģija",1,IF(Dati!I43=1,1000/2.5,1000)))</f>
        <v>1000</v>
      </c>
      <c r="L26" s="40">
        <f t="shared" si="0"/>
        <v>0</v>
      </c>
      <c r="M26" s="239"/>
    </row>
    <row r="27" spans="1:13" x14ac:dyDescent="0.25">
      <c r="A27" s="236">
        <v>10</v>
      </c>
      <c r="B27" s="242"/>
      <c r="C27" s="241"/>
      <c r="D27" s="43">
        <v>1</v>
      </c>
      <c r="E27" s="139"/>
      <c r="F27" s="139"/>
      <c r="G27" s="139"/>
      <c r="H27" s="139"/>
      <c r="I27" t="str">
        <f>IFERROR(VLOOKUP(F27,Dati!$B$19:$F$34,2,FALSE),"")</f>
        <v/>
      </c>
      <c r="J27" t="str">
        <f>IFERROR(VLOOKUP(E27,Dati!$B$3:$E$18,4,FALSE),"")</f>
        <v/>
      </c>
      <c r="K27">
        <f>IF(F27="Elektroenerģija",1,IF(F27="Siltumenerģija",1,IF(Dati!I44=1,1000/2.5,1000)))</f>
        <v>1000</v>
      </c>
      <c r="L27" s="40">
        <f t="shared" si="0"/>
        <v>0</v>
      </c>
      <c r="M27" s="239">
        <f t="shared" ref="M27" si="9">IFERROR((L27+L28)/C27,0)</f>
        <v>0</v>
      </c>
    </row>
    <row r="28" spans="1:13" x14ac:dyDescent="0.25">
      <c r="A28" s="236"/>
      <c r="B28" s="243"/>
      <c r="C28" s="241"/>
      <c r="D28" s="43">
        <v>2</v>
      </c>
      <c r="E28" s="139"/>
      <c r="F28" s="139"/>
      <c r="G28" s="139"/>
      <c r="H28" s="139"/>
      <c r="I28" t="str">
        <f>IFERROR(VLOOKUP(F28,Dati!$B$19:$F$34,2,FALSE),"")</f>
        <v/>
      </c>
      <c r="J28" t="str">
        <f>IFERROR(VLOOKUP(E28,Dati!$B$3:$E$18,4,FALSE),"")</f>
        <v/>
      </c>
      <c r="K28">
        <f>IF(F28="Elektroenerģija",1,IF(F28="Siltumenerģija",1,IF(Dati!I45=1,1000/2.5,1000)))</f>
        <v>1000</v>
      </c>
      <c r="L28" s="40">
        <f t="shared" si="0"/>
        <v>0</v>
      </c>
      <c r="M28" s="239"/>
    </row>
    <row r="29" spans="1:13" x14ac:dyDescent="0.25">
      <c r="A29" s="236">
        <v>11</v>
      </c>
      <c r="B29" s="242"/>
      <c r="C29" s="241"/>
      <c r="D29" s="43">
        <v>1</v>
      </c>
      <c r="E29" s="139"/>
      <c r="F29" s="139"/>
      <c r="G29" s="139"/>
      <c r="H29" s="139"/>
      <c r="I29" t="str">
        <f>IFERROR(VLOOKUP(F29,Dati!$B$19:$F$34,2,FALSE),"")</f>
        <v/>
      </c>
      <c r="J29" t="str">
        <f>IFERROR(VLOOKUP(E29,Dati!$B$3:$E$18,4,FALSE),"")</f>
        <v/>
      </c>
      <c r="K29">
        <f>IF(F29="Elektroenerģija",1,IF(F29="Siltumenerģija",1,IF(Dati!I46=1,1000/2.5,1000)))</f>
        <v>1000</v>
      </c>
      <c r="L29" s="40">
        <f t="shared" si="0"/>
        <v>0</v>
      </c>
      <c r="M29" s="239">
        <f t="shared" ref="M29:M35" si="10">IFERROR((L29+L30)/C29,0)</f>
        <v>0</v>
      </c>
    </row>
    <row r="30" spans="1:13" x14ac:dyDescent="0.25">
      <c r="A30" s="236"/>
      <c r="B30" s="243"/>
      <c r="C30" s="241"/>
      <c r="D30" s="43">
        <v>2</v>
      </c>
      <c r="E30" s="139"/>
      <c r="F30" s="139"/>
      <c r="G30" s="139"/>
      <c r="H30" s="139"/>
      <c r="I30" t="str">
        <f>IFERROR(VLOOKUP(F30,Dati!$B$19:$F$34,2,FALSE),"")</f>
        <v/>
      </c>
      <c r="J30" t="str">
        <f>IFERROR(VLOOKUP(E30,Dati!$B$3:$E$18,4,FALSE),"")</f>
        <v/>
      </c>
      <c r="K30">
        <f>IF(F30="Elektroenerģija",1,IF(F30="Siltumenerģija",1,IF(Dati!I47=1,1000/2.5,1000)))</f>
        <v>1000</v>
      </c>
      <c r="L30" s="40">
        <f t="shared" si="0"/>
        <v>0</v>
      </c>
      <c r="M30" s="239"/>
    </row>
    <row r="31" spans="1:13" x14ac:dyDescent="0.25">
      <c r="A31" s="237">
        <v>12</v>
      </c>
      <c r="B31" s="242"/>
      <c r="C31" s="241"/>
      <c r="D31" s="43">
        <v>1</v>
      </c>
      <c r="E31" s="139"/>
      <c r="F31" s="139"/>
      <c r="G31" s="139"/>
      <c r="H31" s="139"/>
      <c r="I31" t="str">
        <f>IFERROR(VLOOKUP(F31,Dati!$B$19:$F$34,2,FALSE),"")</f>
        <v/>
      </c>
      <c r="J31" t="str">
        <f>IFERROR(VLOOKUP(E31,Dati!$B$3:$E$18,4,FALSE),"")</f>
        <v/>
      </c>
      <c r="K31">
        <f>IF(F31="Elektroenerģija",1,IF(F31="Siltumenerģija",1,IF(Dati!I48=1,1000/2.5,1000)))</f>
        <v>1000</v>
      </c>
      <c r="L31" s="40">
        <f t="shared" ref="L31:L36" si="11">IFERROR(H31*I31*J31*K31,0)</f>
        <v>0</v>
      </c>
      <c r="M31" s="239">
        <f t="shared" si="10"/>
        <v>0</v>
      </c>
    </row>
    <row r="32" spans="1:13" x14ac:dyDescent="0.25">
      <c r="A32" s="238"/>
      <c r="B32" s="243"/>
      <c r="C32" s="241"/>
      <c r="D32" s="43">
        <v>2</v>
      </c>
      <c r="E32" s="139"/>
      <c r="F32" s="139"/>
      <c r="G32" s="139"/>
      <c r="H32" s="139"/>
      <c r="I32" t="str">
        <f>IFERROR(VLOOKUP(F32,Dati!$B$19:$F$34,2,FALSE),"")</f>
        <v/>
      </c>
      <c r="J32" t="str">
        <f>IFERROR(VLOOKUP(E32,Dati!$B$3:$E$18,4,FALSE),"")</f>
        <v/>
      </c>
      <c r="K32">
        <f>IF(F32="Elektroenerģija",1,IF(F32="Siltumenerģija",1,IF(Dati!I49=1,1000/2.5,1000)))</f>
        <v>1000</v>
      </c>
      <c r="L32" s="40">
        <f t="shared" si="11"/>
        <v>0</v>
      </c>
      <c r="M32" s="239"/>
    </row>
    <row r="33" spans="1:13" x14ac:dyDescent="0.25">
      <c r="A33" s="237">
        <v>13</v>
      </c>
      <c r="B33" s="251"/>
      <c r="C33" s="241"/>
      <c r="D33" s="43">
        <v>1</v>
      </c>
      <c r="E33" s="139"/>
      <c r="F33" s="139"/>
      <c r="G33" s="139"/>
      <c r="H33" s="139"/>
      <c r="I33" t="str">
        <f>IFERROR(VLOOKUP(F33,Dati!$B$19:$F$34,2,FALSE),"")</f>
        <v/>
      </c>
      <c r="J33" t="str">
        <f>IFERROR(VLOOKUP(E33,Dati!$B$3:$E$18,4,FALSE),"")</f>
        <v/>
      </c>
      <c r="K33">
        <f>IF(F33="Elektroenerģija",1,IF(F33="Siltumenerģija",1,IF(Dati!I50=1,1000/2.5,1000)))</f>
        <v>1000</v>
      </c>
      <c r="L33" s="40">
        <f t="shared" si="11"/>
        <v>0</v>
      </c>
      <c r="M33" s="239">
        <f t="shared" si="10"/>
        <v>0</v>
      </c>
    </row>
    <row r="34" spans="1:13" x14ac:dyDescent="0.25">
      <c r="A34" s="238"/>
      <c r="B34" s="252"/>
      <c r="C34" s="241"/>
      <c r="D34" s="43">
        <v>2</v>
      </c>
      <c r="E34" s="139"/>
      <c r="F34" s="139"/>
      <c r="G34" s="139"/>
      <c r="H34" s="139"/>
      <c r="I34" t="str">
        <f>IFERROR(VLOOKUP(F34,Dati!$B$19:$F$34,2,FALSE),"")</f>
        <v/>
      </c>
      <c r="J34" t="str">
        <f>IFERROR(VLOOKUP(E34,Dati!$B$3:$E$18,4,FALSE),"")</f>
        <v/>
      </c>
      <c r="K34">
        <f>IF(F34="Elektroenerģija",1,IF(F34="Siltumenerģija",1,IF(Dati!I51=1,1000/2.5,1000)))</f>
        <v>1000</v>
      </c>
      <c r="L34" s="40">
        <f t="shared" si="11"/>
        <v>0</v>
      </c>
      <c r="M34" s="239"/>
    </row>
    <row r="35" spans="1:13" x14ac:dyDescent="0.25">
      <c r="A35" s="237">
        <v>14</v>
      </c>
      <c r="B35" s="251"/>
      <c r="C35" s="241"/>
      <c r="D35" s="43">
        <v>1</v>
      </c>
      <c r="E35" s="139"/>
      <c r="F35" s="139"/>
      <c r="G35" s="139"/>
      <c r="H35" s="139"/>
      <c r="I35" t="str">
        <f>IFERROR(VLOOKUP(F35,Dati!$B$19:$F$34,2,FALSE),"")</f>
        <v/>
      </c>
      <c r="J35" t="str">
        <f>IFERROR(VLOOKUP(E35,Dati!$B$3:$E$18,4,FALSE),"")</f>
        <v/>
      </c>
      <c r="K35">
        <f>IF(F35="Elektroenerģija",1,IF(F35="Siltumenerģija",1,IF(Dati!I52=1,1000/2.5,1000)))</f>
        <v>1000</v>
      </c>
      <c r="L35" s="40">
        <f t="shared" si="11"/>
        <v>0</v>
      </c>
      <c r="M35" s="239">
        <f t="shared" si="10"/>
        <v>0</v>
      </c>
    </row>
    <row r="36" spans="1:13" x14ac:dyDescent="0.25">
      <c r="A36" s="238"/>
      <c r="B36" s="252"/>
      <c r="C36" s="241"/>
      <c r="D36" s="43">
        <v>2</v>
      </c>
      <c r="E36" s="139"/>
      <c r="F36" s="139"/>
      <c r="G36" s="139"/>
      <c r="H36" s="139"/>
      <c r="I36" t="str">
        <f>IFERROR(VLOOKUP(F36,Dati!$B$19:$F$34,2,FALSE),"")</f>
        <v/>
      </c>
      <c r="J36" t="str">
        <f>IFERROR(VLOOKUP(E36,Dati!$B$3:$E$18,4,FALSE),"")</f>
        <v/>
      </c>
      <c r="K36">
        <f>IF(F36="Elektroenerģija",1,IF(F36="Siltumenerģija",1,IF(Dati!I53=1,1000/2.5,1000)))</f>
        <v>1000</v>
      </c>
      <c r="L36" s="40">
        <f t="shared" si="11"/>
        <v>0</v>
      </c>
      <c r="M36" s="239"/>
    </row>
    <row r="37" spans="1:13" x14ac:dyDescent="0.25">
      <c r="A37" s="236">
        <v>15</v>
      </c>
      <c r="B37" s="251"/>
      <c r="C37" s="241"/>
      <c r="D37" s="43">
        <v>1</v>
      </c>
      <c r="E37" s="139"/>
      <c r="F37" s="139"/>
      <c r="G37" s="139"/>
      <c r="H37" s="139"/>
      <c r="I37" t="str">
        <f>IFERROR(VLOOKUP(F37,Dati!$B$19:$F$34,2,FALSE),"")</f>
        <v/>
      </c>
      <c r="J37" t="str">
        <f>IFERROR(VLOOKUP(E37,Dati!$B$3:$E$18,4,FALSE),"")</f>
        <v/>
      </c>
      <c r="K37">
        <f>IF(F37="Elektroenerģija",1,IF(F37="Siltumenerģija",1,IF(Dati!I54=1,1000/2.5,1000)))</f>
        <v>1000</v>
      </c>
      <c r="L37" s="40">
        <f t="shared" si="0"/>
        <v>0</v>
      </c>
      <c r="M37" s="239">
        <f t="shared" ref="M37" si="12">IFERROR((L37+L38)/C37,0)</f>
        <v>0</v>
      </c>
    </row>
    <row r="38" spans="1:13" x14ac:dyDescent="0.25">
      <c r="A38" s="236"/>
      <c r="B38" s="252"/>
      <c r="C38" s="241"/>
      <c r="D38" s="43">
        <v>2</v>
      </c>
      <c r="E38" s="139"/>
      <c r="F38" s="139"/>
      <c r="G38" s="139"/>
      <c r="H38" s="139"/>
      <c r="I38" t="str">
        <f>IFERROR(VLOOKUP(F38,Dati!$B$19:$F$34,2,FALSE),"")</f>
        <v/>
      </c>
      <c r="J38" t="str">
        <f>IFERROR(VLOOKUP(E38,Dati!$B$3:$E$18,4,FALSE),"")</f>
        <v/>
      </c>
      <c r="K38">
        <f>IF(F38="Elektroenerģija",1,IF(F38="Siltumenerģija",1,IF(Dati!I55=1,1000/2.5,1000)))</f>
        <v>1000</v>
      </c>
      <c r="L38" s="40">
        <f t="shared" si="0"/>
        <v>0</v>
      </c>
      <c r="M38" s="239"/>
    </row>
    <row r="39" spans="1:13" x14ac:dyDescent="0.25">
      <c r="A39" s="236">
        <v>16</v>
      </c>
      <c r="B39" s="251"/>
      <c r="C39" s="241"/>
      <c r="D39" s="43">
        <v>1</v>
      </c>
      <c r="E39" s="139"/>
      <c r="F39" s="139"/>
      <c r="G39" s="139"/>
      <c r="H39" s="139"/>
      <c r="I39" t="str">
        <f>IFERROR(VLOOKUP(F39,Dati!$B$19:$F$34,2,FALSE),"")</f>
        <v/>
      </c>
      <c r="J39" t="str">
        <f>IFERROR(VLOOKUP(E39,Dati!$B$3:$E$18,4,FALSE),"")</f>
        <v/>
      </c>
      <c r="K39">
        <f>IF(F39="Elektroenerģija",1,IF(F39="Siltumenerģija",1,IF(Dati!I56=1,1000/2.5,1000)))</f>
        <v>1000</v>
      </c>
      <c r="L39" s="40">
        <f t="shared" si="0"/>
        <v>0</v>
      </c>
      <c r="M39" s="239">
        <f t="shared" ref="M39" si="13">IFERROR((L39+L40)/C39,0)</f>
        <v>0</v>
      </c>
    </row>
    <row r="40" spans="1:13" x14ac:dyDescent="0.25">
      <c r="A40" s="236"/>
      <c r="B40" s="252"/>
      <c r="C40" s="241"/>
      <c r="D40" s="43">
        <v>2</v>
      </c>
      <c r="E40" s="139"/>
      <c r="F40" s="139"/>
      <c r="G40" s="139"/>
      <c r="H40" s="139"/>
      <c r="I40" t="str">
        <f>IFERROR(VLOOKUP(F40,Dati!$B$19:$F$34,2,FALSE),"")</f>
        <v/>
      </c>
      <c r="J40" t="str">
        <f>IFERROR(VLOOKUP(E40,Dati!$B$3:$E$18,4,FALSE),"")</f>
        <v/>
      </c>
      <c r="K40">
        <f>IF(F40="Elektroenerģija",1,IF(F40="Siltumenerģija",1,IF(Dati!I57=1,1000/2.5,1000)))</f>
        <v>1000</v>
      </c>
      <c r="L40" s="40">
        <f t="shared" si="0"/>
        <v>0</v>
      </c>
      <c r="M40" s="239"/>
    </row>
    <row r="41" spans="1:13" x14ac:dyDescent="0.25">
      <c r="A41" s="39" t="s">
        <v>94</v>
      </c>
      <c r="B41" s="39"/>
      <c r="C41" s="42">
        <f>SUM(C9:C40)</f>
        <v>20</v>
      </c>
      <c r="L41" s="40">
        <f>SUM(L9:L40)</f>
        <v>0</v>
      </c>
      <c r="M41" s="41">
        <f>L41/C41</f>
        <v>0</v>
      </c>
    </row>
    <row r="42" spans="1:13" ht="18.75" x14ac:dyDescent="0.25">
      <c r="C42" s="240" t="s">
        <v>113</v>
      </c>
      <c r="D42" s="240"/>
      <c r="E42" s="240"/>
      <c r="F42" s="240"/>
      <c r="G42" s="240"/>
      <c r="H42" s="240"/>
      <c r="I42" s="240"/>
      <c r="J42" s="240"/>
      <c r="L42" s="47" t="str">
        <f>IF(C41&lt;50, "NEATBILST", IF(AND(C41&gt;=50, C41&lt;=120), IF(M41&gt;180, "NEATBILST", IF(AND(M41&gt;=95, M41&lt;=180), "Atbilst", "Atbilst")), IF(AND(C41&gt;120, C41&lt;=250), IF(M41&gt;150, "NEATBILST", IF(AND(M41&gt;=90, M41&lt;=150), "Atbilst", "Atbilst")), IF(M41&gt;125, "NEATBILST", IF(AND(M41&gt;=80, M41&lt;=125), "Atbilst", "Atbilst")))))</f>
        <v>NEATBILST</v>
      </c>
    </row>
    <row r="43" spans="1:13" ht="18.75" x14ac:dyDescent="0.25">
      <c r="C43" s="244" t="s">
        <v>114</v>
      </c>
      <c r="D43" s="245"/>
      <c r="E43" s="245"/>
      <c r="F43" s="245"/>
      <c r="G43" s="245"/>
      <c r="H43" s="246"/>
      <c r="I43" s="44">
        <f>ROUNDUP((L41/(Dati!G13*Dati!G18)*(Dati!H20)/(Dati!G19-Dati!G21))*1.2/Dati!I21,0)</f>
        <v>0</v>
      </c>
      <c r="J43" s="45" t="s">
        <v>8</v>
      </c>
      <c r="L43" s="46" t="str">
        <f>IF(I43&gt;50,"NEATBILST","Atbilst")</f>
        <v>Atbilst</v>
      </c>
    </row>
  </sheetData>
  <sheetProtection algorithmName="SHA-512" hashValue="m0GBnIhjBSfRNKXclMo+VdVBeMdwufz8xTNZ5XIpBu7lOnt7e0xCDejqR9A8qSdCcjm9CCxDQTDv4wPnOlqzuQ==" saltValue="0WXxDTeuQoOsZUhu4IXNtQ==" spinCount="100000" sheet="1" objects="1" scenarios="1" selectLockedCells="1"/>
  <mergeCells count="73">
    <mergeCell ref="B29:B30"/>
    <mergeCell ref="B37:B38"/>
    <mergeCell ref="B39:B40"/>
    <mergeCell ref="C42:J42"/>
    <mergeCell ref="C27:C28"/>
    <mergeCell ref="C29:C30"/>
    <mergeCell ref="C37:C38"/>
    <mergeCell ref="C39:C40"/>
    <mergeCell ref="B31:B32"/>
    <mergeCell ref="B33:B34"/>
    <mergeCell ref="B35:B36"/>
    <mergeCell ref="C31:C32"/>
    <mergeCell ref="C33:C34"/>
    <mergeCell ref="C35:C36"/>
    <mergeCell ref="C43:H43"/>
    <mergeCell ref="A1:N1"/>
    <mergeCell ref="A2:N3"/>
    <mergeCell ref="A5:N5"/>
    <mergeCell ref="A6:N6"/>
    <mergeCell ref="A7:N7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M37:M38"/>
    <mergeCell ref="M15:M16"/>
    <mergeCell ref="M39:M40"/>
    <mergeCell ref="M19:M20"/>
    <mergeCell ref="M21:M22"/>
    <mergeCell ref="M23:M24"/>
    <mergeCell ref="M25:M26"/>
    <mergeCell ref="M27:M28"/>
    <mergeCell ref="M29:M30"/>
    <mergeCell ref="M31:M32"/>
    <mergeCell ref="M33:M34"/>
    <mergeCell ref="M35:M36"/>
    <mergeCell ref="A39:A40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A21:A22"/>
    <mergeCell ref="A23:A24"/>
    <mergeCell ref="A25:A26"/>
    <mergeCell ref="A27:A28"/>
    <mergeCell ref="A29:A30"/>
    <mergeCell ref="B27:B28"/>
    <mergeCell ref="A4:N4"/>
    <mergeCell ref="A37:A38"/>
    <mergeCell ref="A19:A20"/>
    <mergeCell ref="A9:A10"/>
    <mergeCell ref="A11:A12"/>
    <mergeCell ref="A13:A14"/>
    <mergeCell ref="A15:A16"/>
    <mergeCell ref="A17:A18"/>
    <mergeCell ref="A31:A32"/>
    <mergeCell ref="A33:A34"/>
    <mergeCell ref="A35:A36"/>
    <mergeCell ref="M17:M18"/>
    <mergeCell ref="D8:E8"/>
    <mergeCell ref="M9:M10"/>
    <mergeCell ref="M11:M12"/>
    <mergeCell ref="M13:M14"/>
  </mergeCells>
  <phoneticPr fontId="20" type="noConversion"/>
  <conditionalFormatting sqref="L42">
    <cfRule type="expression" dxfId="17" priority="2">
      <formula>$L$42="NEATBILST"</formula>
    </cfRule>
    <cfRule type="expression" dxfId="16" priority="7">
      <formula>$L$42="Atbilst"</formula>
    </cfRule>
    <cfRule type="expression" dxfId="15" priority="8">
      <formula>$M$50="Atbilst"</formula>
    </cfRule>
    <cfRule type="expression" dxfId="14" priority="9">
      <formula>$M$50="NEATBILST"</formula>
    </cfRule>
  </conditionalFormatting>
  <conditionalFormatting sqref="L43">
    <cfRule type="expression" dxfId="13" priority="1">
      <formula>$L$43="NEATBILST"</formula>
    </cfRule>
    <cfRule type="expression" dxfId="12" priority="3">
      <formula>$L$43="Atbilst"</formula>
    </cfRule>
  </conditionalFormatting>
  <conditionalFormatting sqref="L43:L44">
    <cfRule type="expression" dxfId="11" priority="4">
      <formula>$L$43</formula>
    </cfRule>
  </conditionalFormatting>
  <dataValidations count="2">
    <dataValidation type="decimal" operator="greaterThanOrEqual" allowBlank="1" showInputMessage="1" showErrorMessage="1" error="Lūdzu norādiet patēriņu ar decimālskaitļiem, izmantojot punktu &quot;.&quot;." sqref="H9:H40" xr:uid="{2EE4BF2A-8E9C-483B-824C-999C90F81A40}">
      <formula1>0</formula1>
    </dataValidation>
    <dataValidation type="decimal" operator="greaterThanOrEqual" allowBlank="1" showInputMessage="1" showErrorMessage="1" error="Lūdzu norādiet platību ar decimālskaitļiem, izmantojot punktu &quot;.&quot;" sqref="C9:C40" xr:uid="{1EB114D4-212C-430D-915A-517CECC76E24}">
      <formula1>0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85A095B-BCA4-4FBF-A189-3A42F70D7182}">
          <x14:formula1>
            <xm:f>Dati!$B$19:$B$34</xm:f>
          </x14:formula1>
          <xm:sqref>F9:F40</xm:sqref>
        </x14:dataValidation>
        <x14:dataValidation type="list" allowBlank="1" showInputMessage="1" showErrorMessage="1" xr:uid="{A7F7EFDE-D01C-4E3E-9F4E-0407A0FCE96E}">
          <x14:formula1>
            <xm:f>Dati!$D$35:$D$39</xm:f>
          </x14:formula1>
          <xm:sqref>G9:G40</xm:sqref>
        </x14:dataValidation>
        <x14:dataValidation type="list" allowBlank="1" showInputMessage="1" showErrorMessage="1" xr:uid="{93185B70-1E67-431A-B432-ECAE32E3C1ED}">
          <x14:formula1>
            <xm:f>Dati!$B$3:$B$17</xm:f>
          </x14:formula1>
          <xm:sqref>E9:E40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16F8-C318-401E-B6D1-DC9A875F32A6}">
  <dimension ref="B1:L57"/>
  <sheetViews>
    <sheetView topLeftCell="B1" workbookViewId="0">
      <selection activeCell="I9" sqref="I9"/>
    </sheetView>
  </sheetViews>
  <sheetFormatPr defaultColWidth="8.85546875" defaultRowHeight="15" x14ac:dyDescent="0.25"/>
  <cols>
    <col min="1" max="1" width="3.28515625" style="1" customWidth="1"/>
    <col min="2" max="2" width="74.28515625" style="1" customWidth="1"/>
    <col min="3" max="4" width="8.85546875" style="1"/>
    <col min="5" max="5" width="14.140625" style="7" bestFit="1" customWidth="1"/>
    <col min="6" max="6" width="8.85546875" style="1"/>
    <col min="7" max="7" width="14.85546875" style="1" customWidth="1"/>
    <col min="8" max="8" width="10.7109375" style="1" customWidth="1"/>
    <col min="9" max="9" width="12.28515625" style="1" customWidth="1"/>
    <col min="10" max="16384" width="8.85546875" style="1"/>
  </cols>
  <sheetData>
    <row r="1" spans="2:12" ht="60.75" customHeight="1" x14ac:dyDescent="0.25">
      <c r="B1" s="72"/>
      <c r="C1" s="72"/>
      <c r="D1" s="72"/>
      <c r="E1" s="73"/>
      <c r="F1" s="72"/>
      <c r="G1" s="72"/>
      <c r="H1" s="72"/>
      <c r="I1" s="72" t="s">
        <v>27</v>
      </c>
      <c r="J1" s="72" t="s">
        <v>28</v>
      </c>
      <c r="K1" s="72"/>
      <c r="L1" s="72"/>
    </row>
    <row r="2" spans="2:12" ht="16.5" x14ac:dyDescent="0.3">
      <c r="B2" s="74" t="s">
        <v>57</v>
      </c>
      <c r="C2" s="253" t="s">
        <v>58</v>
      </c>
      <c r="D2" s="253"/>
      <c r="E2" s="76" t="s">
        <v>59</v>
      </c>
      <c r="F2" s="72"/>
      <c r="G2" s="72"/>
      <c r="H2" s="72" t="s">
        <v>60</v>
      </c>
      <c r="I2" s="72">
        <v>1</v>
      </c>
      <c r="J2" s="72">
        <f>1.5/0.6</f>
        <v>2.5</v>
      </c>
      <c r="K2" s="72">
        <f>IF('Projekta dati'!D13=Dati!B19,1,IF('Projekta dati'!D13=Dati!B20,1,IF('Projekta dati'!D13=Dati!B21,1,IF('Projekta dati'!D13=Dati!B22,1,IF('Projekta dati'!D13=Dati!B23,1,IF('Projekta dati'!D13=Dati!B24,1,0))))))</f>
        <v>1</v>
      </c>
      <c r="L2" s="72">
        <f>IF('Projekta dati'!L13=Dati!B19,1,IF('Projekta dati'!L13=Dati!B20,1,IF('Projekta dati'!L13=Dati!B21,1,IF('Projekta dati'!L13=Dati!B22,1,IF('Projekta dati'!L13=Dati!B23,1,IF('Projekta dati'!L13=Dati!B24,1,0))))))</f>
        <v>0</v>
      </c>
    </row>
    <row r="3" spans="2:12" x14ac:dyDescent="0.25">
      <c r="B3" s="77" t="s">
        <v>61</v>
      </c>
      <c r="C3" s="78">
        <v>2952</v>
      </c>
      <c r="D3" s="78" t="s">
        <v>51</v>
      </c>
      <c r="E3" s="79">
        <v>0.2</v>
      </c>
      <c r="F3" s="72"/>
      <c r="G3" s="72"/>
      <c r="H3" s="72"/>
      <c r="I3" s="72"/>
      <c r="J3" s="72"/>
      <c r="K3" s="72">
        <f>IF('Projekta dati'!D15=Dati!F20,1,0)</f>
        <v>1</v>
      </c>
      <c r="L3" s="72">
        <f>IF('Projekta dati'!L15=Dati!F20,1,0)</f>
        <v>0</v>
      </c>
    </row>
    <row r="4" spans="2:12" x14ac:dyDescent="0.25">
      <c r="B4" s="77" t="s">
        <v>62</v>
      </c>
      <c r="C4" s="78">
        <v>2664</v>
      </c>
      <c r="D4" s="78" t="s">
        <v>51</v>
      </c>
      <c r="E4" s="79">
        <v>0.45</v>
      </c>
      <c r="F4" s="72"/>
      <c r="G4" s="72"/>
      <c r="H4" s="72" t="s">
        <v>63</v>
      </c>
      <c r="I4" s="72"/>
      <c r="J4" s="72"/>
      <c r="K4" s="72"/>
      <c r="L4" s="72"/>
    </row>
    <row r="5" spans="2:12" ht="30" x14ac:dyDescent="0.25">
      <c r="B5" s="80" t="s">
        <v>64</v>
      </c>
      <c r="C5" s="78">
        <v>2664</v>
      </c>
      <c r="D5" s="78" t="s">
        <v>51</v>
      </c>
      <c r="E5" s="81">
        <v>0.65</v>
      </c>
      <c r="F5" s="72"/>
      <c r="G5" s="72"/>
      <c r="H5" s="72">
        <f>'Projekta dati'!I8</f>
        <v>0</v>
      </c>
      <c r="I5" s="72"/>
      <c r="J5" s="72">
        <f>IF(H5&lt;120,1,IF(H5&gt;250,3,2))</f>
        <v>1</v>
      </c>
      <c r="K5" s="72">
        <f>IF(J5=1,180,IF(J5=3,125,150))</f>
        <v>180</v>
      </c>
      <c r="L5" s="72">
        <v>90</v>
      </c>
    </row>
    <row r="6" spans="2:12" x14ac:dyDescent="0.25">
      <c r="B6" s="77" t="s">
        <v>65</v>
      </c>
      <c r="C6" s="78">
        <v>2664</v>
      </c>
      <c r="D6" s="78" t="s">
        <v>51</v>
      </c>
      <c r="E6" s="81">
        <v>0.65</v>
      </c>
      <c r="F6" s="72"/>
      <c r="G6" s="72" t="s">
        <v>48</v>
      </c>
      <c r="H6" s="72"/>
      <c r="I6" s="72"/>
      <c r="J6" s="72"/>
      <c r="K6" s="72"/>
      <c r="L6" s="72"/>
    </row>
    <row r="7" spans="2:12" x14ac:dyDescent="0.25">
      <c r="B7" s="80" t="s">
        <v>66</v>
      </c>
      <c r="C7" s="78">
        <v>1692</v>
      </c>
      <c r="D7" s="78" t="s">
        <v>51</v>
      </c>
      <c r="E7" s="81">
        <v>0.65</v>
      </c>
      <c r="F7" s="72"/>
      <c r="G7" s="72" t="s">
        <v>67</v>
      </c>
      <c r="H7" s="72"/>
      <c r="I7" s="72"/>
      <c r="J7" s="72"/>
      <c r="K7" s="72"/>
      <c r="L7" s="72"/>
    </row>
    <row r="8" spans="2:12" x14ac:dyDescent="0.25">
      <c r="B8" s="77" t="s">
        <v>24</v>
      </c>
      <c r="C8" s="78">
        <v>1692</v>
      </c>
      <c r="D8" s="78" t="s">
        <v>51</v>
      </c>
      <c r="E8" s="79">
        <v>0.85</v>
      </c>
      <c r="F8" s="72"/>
      <c r="G8" s="72" t="s">
        <v>68</v>
      </c>
      <c r="H8" s="72"/>
      <c r="I8" s="72"/>
      <c r="J8" s="72"/>
      <c r="K8" s="72"/>
      <c r="L8" s="72"/>
    </row>
    <row r="9" spans="2:12" x14ac:dyDescent="0.25">
      <c r="B9" s="80" t="s">
        <v>25</v>
      </c>
      <c r="C9" s="78">
        <v>1433</v>
      </c>
      <c r="D9" s="78" t="s">
        <v>51</v>
      </c>
      <c r="E9" s="81">
        <v>0.65</v>
      </c>
      <c r="F9" s="72"/>
      <c r="G9" s="72" t="s">
        <v>69</v>
      </c>
      <c r="H9" s="72"/>
      <c r="I9" s="72"/>
      <c r="J9" s="72"/>
      <c r="K9" s="72"/>
      <c r="L9" s="72"/>
    </row>
    <row r="10" spans="2:12" x14ac:dyDescent="0.25">
      <c r="B10" s="80" t="s">
        <v>70</v>
      </c>
      <c r="C10" s="78">
        <v>1433</v>
      </c>
      <c r="D10" s="78" t="s">
        <v>51</v>
      </c>
      <c r="E10" s="81">
        <v>0.65</v>
      </c>
      <c r="F10" s="72"/>
      <c r="G10" s="72">
        <f>'Projekta dati'!I8</f>
        <v>0</v>
      </c>
      <c r="H10" s="72"/>
      <c r="I10" s="72"/>
      <c r="J10" s="72"/>
      <c r="K10" s="72"/>
      <c r="L10" s="72"/>
    </row>
    <row r="11" spans="2:12" x14ac:dyDescent="0.25">
      <c r="B11" s="77" t="s">
        <v>71</v>
      </c>
      <c r="C11" s="82">
        <v>1692</v>
      </c>
      <c r="D11" s="78" t="s">
        <v>51</v>
      </c>
      <c r="E11" s="79">
        <v>0.5</v>
      </c>
      <c r="F11" s="72"/>
      <c r="G11" s="72" t="e">
        <f>'Projekta dati'!H26</f>
        <v>#DIV/0!</v>
      </c>
      <c r="H11" s="72"/>
      <c r="I11" s="72"/>
      <c r="J11" s="72"/>
      <c r="K11" s="72"/>
      <c r="L11" s="72"/>
    </row>
    <row r="12" spans="2:12" x14ac:dyDescent="0.25">
      <c r="B12" s="77" t="s">
        <v>91</v>
      </c>
      <c r="C12" s="82"/>
      <c r="D12" s="78"/>
      <c r="E12" s="79">
        <v>1</v>
      </c>
      <c r="F12" s="72"/>
      <c r="G12" s="72"/>
      <c r="H12" s="72"/>
      <c r="I12" s="72"/>
      <c r="J12" s="72"/>
      <c r="K12" s="72"/>
      <c r="L12" s="72"/>
    </row>
    <row r="13" spans="2:12" x14ac:dyDescent="0.25">
      <c r="B13" s="78" t="s">
        <v>104</v>
      </c>
      <c r="C13" s="78"/>
      <c r="D13" s="78"/>
      <c r="E13" s="79">
        <v>3.5</v>
      </c>
      <c r="F13" s="72"/>
      <c r="G13" s="72">
        <v>212</v>
      </c>
      <c r="H13" s="72">
        <f>G13*G18</f>
        <v>5088</v>
      </c>
      <c r="I13" s="72"/>
      <c r="J13" s="72"/>
      <c r="K13" s="72"/>
      <c r="L13" s="72"/>
    </row>
    <row r="14" spans="2:12" x14ac:dyDescent="0.25">
      <c r="B14" s="78" t="s">
        <v>105</v>
      </c>
      <c r="C14" s="78"/>
      <c r="D14" s="78"/>
      <c r="E14" s="79">
        <v>1</v>
      </c>
      <c r="F14" s="72"/>
      <c r="G14" s="72">
        <v>212</v>
      </c>
      <c r="H14" s="72">
        <f>G14*G19</f>
        <v>0</v>
      </c>
      <c r="I14" s="72"/>
      <c r="J14" s="72"/>
      <c r="K14" s="72"/>
      <c r="L14" s="72"/>
    </row>
    <row r="15" spans="2:12" x14ac:dyDescent="0.25">
      <c r="B15" s="78" t="s">
        <v>92</v>
      </c>
      <c r="C15" s="78"/>
      <c r="D15" s="78"/>
      <c r="E15" s="79">
        <v>1</v>
      </c>
      <c r="F15" s="72"/>
      <c r="G15" s="72">
        <v>212</v>
      </c>
      <c r="H15" s="72">
        <f>G15*G19</f>
        <v>0</v>
      </c>
      <c r="I15" s="72"/>
      <c r="J15" s="72"/>
      <c r="K15" s="72"/>
      <c r="L15" s="72"/>
    </row>
    <row r="16" spans="2:12" x14ac:dyDescent="0.25">
      <c r="B16" s="78" t="s">
        <v>109</v>
      </c>
      <c r="C16" s="78"/>
      <c r="D16" s="78"/>
      <c r="E16" s="79">
        <v>0.98</v>
      </c>
      <c r="F16" s="72"/>
      <c r="G16" s="72">
        <v>212</v>
      </c>
      <c r="H16" s="72">
        <f>G16*G20</f>
        <v>-5088</v>
      </c>
      <c r="I16" s="72"/>
      <c r="J16" s="72"/>
      <c r="K16" s="72"/>
      <c r="L16" s="72"/>
    </row>
    <row r="17" spans="2:12" x14ac:dyDescent="0.25">
      <c r="B17" s="78" t="s">
        <v>110</v>
      </c>
      <c r="C17" s="78"/>
      <c r="D17" s="78"/>
      <c r="E17" s="79">
        <v>0.92</v>
      </c>
      <c r="F17" s="72"/>
      <c r="G17" s="72">
        <v>212</v>
      </c>
      <c r="H17" s="72">
        <f>G17*G21</f>
        <v>424</v>
      </c>
      <c r="I17" s="72"/>
      <c r="J17" s="72"/>
      <c r="K17" s="72"/>
      <c r="L17" s="72"/>
    </row>
    <row r="18" spans="2:12" ht="15.75" x14ac:dyDescent="0.25">
      <c r="B18" s="83" t="s">
        <v>72</v>
      </c>
      <c r="C18" s="84" t="s">
        <v>73</v>
      </c>
      <c r="D18" s="84"/>
      <c r="E18" s="85"/>
      <c r="F18" s="72"/>
      <c r="G18" s="72">
        <v>24</v>
      </c>
      <c r="H18" s="72"/>
      <c r="I18" s="72"/>
      <c r="J18" s="72"/>
      <c r="K18" s="72"/>
      <c r="L18" s="72"/>
    </row>
    <row r="19" spans="2:12" ht="15.75" x14ac:dyDescent="0.25">
      <c r="B19" s="83" t="s">
        <v>74</v>
      </c>
      <c r="C19" s="84">
        <v>4.5110000000000001</v>
      </c>
      <c r="D19" s="84" t="s">
        <v>75</v>
      </c>
      <c r="E19" s="85" t="s">
        <v>27</v>
      </c>
      <c r="F19" s="72" t="s">
        <v>27</v>
      </c>
      <c r="G19" s="72">
        <f>'Projekta dati'!I9</f>
        <v>0</v>
      </c>
      <c r="H19" s="72">
        <f>G19-G21</f>
        <v>-2</v>
      </c>
      <c r="I19" s="72"/>
      <c r="J19" s="72"/>
      <c r="K19" s="72"/>
      <c r="L19" s="72"/>
    </row>
    <row r="20" spans="2:12" ht="15.75" x14ac:dyDescent="0.25">
      <c r="B20" s="83" t="s">
        <v>76</v>
      </c>
      <c r="C20" s="84">
        <v>3.9340000000000002</v>
      </c>
      <c r="D20" s="84" t="s">
        <v>77</v>
      </c>
      <c r="E20" s="85" t="s">
        <v>27</v>
      </c>
      <c r="F20" s="72" t="s">
        <v>28</v>
      </c>
      <c r="G20" s="72">
        <v>-24</v>
      </c>
      <c r="H20" s="72">
        <f>ABS(G20-G19)</f>
        <v>24</v>
      </c>
      <c r="I20" s="72"/>
      <c r="J20" s="72"/>
      <c r="K20" s="72"/>
      <c r="L20" s="72"/>
    </row>
    <row r="21" spans="2:12" ht="15.75" x14ac:dyDescent="0.25">
      <c r="B21" s="83" t="s">
        <v>78</v>
      </c>
      <c r="C21" s="84">
        <v>3.359</v>
      </c>
      <c r="D21" s="84" t="s">
        <v>77</v>
      </c>
      <c r="E21" s="85" t="s">
        <v>27</v>
      </c>
      <c r="F21" s="72" t="s">
        <v>79</v>
      </c>
      <c r="G21" s="72">
        <v>2</v>
      </c>
      <c r="H21" s="86">
        <f>H20/H19*1.2</f>
        <v>-14.399999999999999</v>
      </c>
      <c r="I21" s="72">
        <v>0.85</v>
      </c>
      <c r="J21" s="72"/>
      <c r="K21" s="72"/>
      <c r="L21" s="72"/>
    </row>
    <row r="22" spans="2:12" ht="15.75" x14ac:dyDescent="0.25">
      <c r="B22" s="83" t="s">
        <v>80</v>
      </c>
      <c r="C22" s="84">
        <v>2.7810000000000001</v>
      </c>
      <c r="D22" s="84" t="s">
        <v>75</v>
      </c>
      <c r="E22" s="85" t="s">
        <v>27</v>
      </c>
      <c r="F22" s="72"/>
      <c r="G22" s="86" t="e">
        <f>ROUNDUP((G11*1000/(G13*G18)*(H20)/(G19-G21))*1.2/I21,0)</f>
        <v>#DIV/0!</v>
      </c>
      <c r="H22" s="72"/>
      <c r="I22" s="72"/>
      <c r="J22" s="72"/>
      <c r="K22" s="72"/>
      <c r="L22" s="72"/>
    </row>
    <row r="23" spans="2:12" ht="15.75" x14ac:dyDescent="0.25">
      <c r="B23" s="83" t="s">
        <v>81</v>
      </c>
      <c r="C23" s="84">
        <v>2.1469999999999998</v>
      </c>
      <c r="D23" s="84" t="s">
        <v>75</v>
      </c>
      <c r="E23" s="85" t="s">
        <v>27</v>
      </c>
      <c r="F23" s="72"/>
      <c r="G23" s="72"/>
      <c r="H23" s="72"/>
      <c r="I23" s="72"/>
      <c r="J23" s="72"/>
      <c r="K23" s="72"/>
      <c r="L23" s="72"/>
    </row>
    <row r="24" spans="2:12" ht="15.75" x14ac:dyDescent="0.25">
      <c r="B24" s="83" t="s">
        <v>21</v>
      </c>
      <c r="C24" s="84">
        <v>1.917</v>
      </c>
      <c r="D24" s="84" t="s">
        <v>75</v>
      </c>
      <c r="E24" s="85" t="s">
        <v>27</v>
      </c>
      <c r="F24" s="72"/>
      <c r="G24" s="72"/>
      <c r="H24" s="72"/>
      <c r="I24" s="72"/>
      <c r="J24" s="72"/>
      <c r="K24" s="72"/>
      <c r="L24" s="72"/>
    </row>
    <row r="25" spans="2:12" ht="15.75" x14ac:dyDescent="0.25">
      <c r="B25" s="87" t="s">
        <v>82</v>
      </c>
      <c r="C25" s="72">
        <v>0.747</v>
      </c>
      <c r="D25" s="72" t="s">
        <v>83</v>
      </c>
      <c r="E25" s="88" t="s">
        <v>28</v>
      </c>
      <c r="F25" s="72"/>
      <c r="G25" s="253" t="s">
        <v>106</v>
      </c>
      <c r="H25" s="253"/>
      <c r="I25" s="253"/>
      <c r="J25" s="72"/>
      <c r="K25" s="72"/>
      <c r="L25" s="72"/>
    </row>
    <row r="26" spans="2:12" x14ac:dyDescent="0.25">
      <c r="B26" s="87" t="s">
        <v>84</v>
      </c>
      <c r="C26" s="72">
        <v>0.90600000000000003</v>
      </c>
      <c r="D26" s="72" t="s">
        <v>83</v>
      </c>
      <c r="E26" s="89" t="s">
        <v>28</v>
      </c>
      <c r="F26" s="72"/>
      <c r="G26" s="90">
        <f>IF(MKN_23.p!F9=Dati!$B$19,1,IF(MKN_23.p!F9=Dati!$B$20,1,IF(MKN_23.p!F9=Dati!$B$21,1,IF(MKN_23.p!F9=Dati!$B$22,1,IF(MKN_23.p!F9=Dati!$B$23,1,IF(MKN_23.p!F9=Dati!$B$24,1,0))))))</f>
        <v>0</v>
      </c>
      <c r="H26" s="75">
        <f>IF(MKN_23.p!G9=Dati!$F$19,1,0)</f>
        <v>0</v>
      </c>
      <c r="I26" s="78">
        <f>G26+H26</f>
        <v>0</v>
      </c>
      <c r="J26" s="72"/>
      <c r="K26" s="72"/>
      <c r="L26" s="72"/>
    </row>
    <row r="27" spans="2:12" ht="15.75" x14ac:dyDescent="0.25">
      <c r="B27" s="87" t="s">
        <v>85</v>
      </c>
      <c r="C27" s="72">
        <v>4.6609999999999996</v>
      </c>
      <c r="D27" s="72" t="s">
        <v>86</v>
      </c>
      <c r="E27" s="88" t="s">
        <v>79</v>
      </c>
      <c r="F27" s="72"/>
      <c r="G27" s="75">
        <f>IF(MKN_23.p!F10=Dati!$B$19,1,IF(MKN_23.p!F10=Dati!$B$20,1,IF(MKN_23.p!F10=Dati!$B$21,1,IF(MKN_23.p!F10=Dati!$B$22,1,IF(MKN_23.p!F10=Dati!$B$23,1,IF(MKN_23.p!F10=Dati!$B$24,1,0))))))</f>
        <v>0</v>
      </c>
      <c r="H27" s="75">
        <f>IF(MKN_23.p!G10=Dati!$F$19,1,0)</f>
        <v>0</v>
      </c>
      <c r="I27" s="78">
        <f t="shared" ref="I27:I42" si="0">G27+H27</f>
        <v>0</v>
      </c>
      <c r="J27" s="72"/>
      <c r="K27" s="72"/>
      <c r="L27" s="72"/>
    </row>
    <row r="28" spans="2:12" ht="15.75" x14ac:dyDescent="0.25">
      <c r="B28" s="87" t="s">
        <v>87</v>
      </c>
      <c r="C28" s="72">
        <v>4.8730000000000002</v>
      </c>
      <c r="D28" s="72" t="s">
        <v>86</v>
      </c>
      <c r="E28" s="88" t="s">
        <v>79</v>
      </c>
      <c r="F28" s="72"/>
      <c r="G28" s="75">
        <f>IF(MKN_23.p!F11=Dati!$B$19,1,IF(MKN_23.p!F11=Dati!$B$20,1,IF(MKN_23.p!F11=Dati!$B$21,1,IF(MKN_23.p!F11=Dati!$B$22,1,IF(MKN_23.p!F11=Dati!$B$23,1,IF(MKN_23.p!F11=Dati!$B$24,1,0))))))</f>
        <v>0</v>
      </c>
      <c r="H28" s="75">
        <f>IF(MKN_23.p!G11=Dati!$F$19,1,0)</f>
        <v>0</v>
      </c>
      <c r="I28" s="78">
        <f t="shared" si="0"/>
        <v>0</v>
      </c>
      <c r="J28" s="72"/>
      <c r="K28" s="72"/>
      <c r="L28" s="72"/>
    </row>
    <row r="29" spans="2:12" ht="15.75" x14ac:dyDescent="0.25">
      <c r="B29" s="87" t="s">
        <v>22</v>
      </c>
      <c r="C29" s="72">
        <v>6.6369999999999996</v>
      </c>
      <c r="D29" s="72" t="s">
        <v>86</v>
      </c>
      <c r="E29" s="88" t="s">
        <v>79</v>
      </c>
      <c r="F29" s="72"/>
      <c r="G29" s="75">
        <f>IF(MKN_23.p!F12=Dati!$B$19,1,IF(MKN_23.p!F12=Dati!$B$20,1,IF(MKN_23.p!F12=Dati!$B$21,1,IF(MKN_23.p!F12=Dati!$B$22,1,IF(MKN_23.p!F12=Dati!$B$23,1,IF(MKN_23.p!F12=Dati!$B$24,1,0))))))</f>
        <v>0</v>
      </c>
      <c r="H29" s="75">
        <f>IF(MKN_23.p!G12=Dati!$F$19,1,0)</f>
        <v>0</v>
      </c>
      <c r="I29" s="78">
        <f t="shared" si="0"/>
        <v>0</v>
      </c>
      <c r="J29" s="72"/>
      <c r="K29" s="72"/>
      <c r="L29" s="72"/>
    </row>
    <row r="30" spans="2:12" ht="15.75" x14ac:dyDescent="0.25">
      <c r="B30" s="87" t="s">
        <v>88</v>
      </c>
      <c r="C30" s="72">
        <v>2.7919999999999998</v>
      </c>
      <c r="D30" s="72" t="s">
        <v>86</v>
      </c>
      <c r="E30" s="88" t="s">
        <v>79</v>
      </c>
      <c r="F30" s="72"/>
      <c r="G30" s="75">
        <f>IF(MKN_23.p!F13=Dati!$B$19,1,IF(MKN_23.p!F13=Dati!$B$20,1,IF(MKN_23.p!F13=Dati!$B$21,1,IF(MKN_23.p!F13=Dati!$B$22,1,IF(MKN_23.p!F13=Dati!$B$23,1,IF(MKN_23.p!F13=Dati!$B$24,1,0))))))</f>
        <v>0</v>
      </c>
      <c r="H30" s="75">
        <f>IF(MKN_23.p!G13=Dati!$F$19,1,0)</f>
        <v>0</v>
      </c>
      <c r="I30" s="78">
        <f t="shared" si="0"/>
        <v>0</v>
      </c>
      <c r="J30" s="72"/>
      <c r="K30" s="72"/>
      <c r="L30" s="72"/>
    </row>
    <row r="31" spans="2:12" ht="15.75" x14ac:dyDescent="0.25">
      <c r="B31" s="87" t="s">
        <v>89</v>
      </c>
      <c r="C31" s="72">
        <v>4.3029999999999999</v>
      </c>
      <c r="D31" s="72" t="s">
        <v>86</v>
      </c>
      <c r="E31" s="88" t="s">
        <v>79</v>
      </c>
      <c r="F31" s="72"/>
      <c r="G31" s="75">
        <f>IF(MKN_23.p!F14=Dati!$B$19,1,IF(MKN_23.p!F14=Dati!$B$20,1,IF(MKN_23.p!F14=Dati!$B$21,1,IF(MKN_23.p!F14=Dati!$B$22,1,IF(MKN_23.p!F14=Dati!$B$23,1,IF(MKN_23.p!F14=Dati!$B$24,1,0))))))</f>
        <v>0</v>
      </c>
      <c r="H31" s="75">
        <f>IF(MKN_23.p!G14=Dati!$F$19,1,0)</f>
        <v>0</v>
      </c>
      <c r="I31" s="78">
        <f t="shared" si="0"/>
        <v>0</v>
      </c>
      <c r="J31" s="72"/>
      <c r="K31" s="72"/>
      <c r="L31" s="72"/>
    </row>
    <row r="32" spans="2:12" ht="15.75" x14ac:dyDescent="0.25">
      <c r="B32" s="91" t="s">
        <v>91</v>
      </c>
      <c r="C32" s="72">
        <v>1</v>
      </c>
      <c r="D32" s="72"/>
      <c r="E32" s="88"/>
      <c r="F32" s="72"/>
      <c r="G32" s="75">
        <f>IF(MKN_23.p!F15=Dati!$B$19,1,IF(MKN_23.p!F15=Dati!$B$20,1,IF(MKN_23.p!F15=Dati!$B$21,1,IF(MKN_23.p!F15=Dati!$B$22,1,IF(MKN_23.p!F15=Dati!$B$23,1,IF(MKN_23.p!F15=Dati!$B$24,1,0))))))</f>
        <v>0</v>
      </c>
      <c r="H32" s="75">
        <f>IF(MKN_23.p!G15=Dati!$F$19,1,0)</f>
        <v>0</v>
      </c>
      <c r="I32" s="78">
        <f t="shared" si="0"/>
        <v>0</v>
      </c>
      <c r="J32" s="72"/>
      <c r="K32" s="72"/>
      <c r="L32" s="72"/>
    </row>
    <row r="33" spans="2:12" ht="15.75" x14ac:dyDescent="0.25">
      <c r="B33" s="92" t="s">
        <v>103</v>
      </c>
      <c r="C33" s="72">
        <v>1</v>
      </c>
      <c r="D33" s="72"/>
      <c r="E33" s="88"/>
      <c r="F33" s="72"/>
      <c r="G33" s="75">
        <f>IF(MKN_23.p!F16=Dati!$B$19,1,IF(MKN_23.p!F16=Dati!$B$20,1,IF(MKN_23.p!F16=Dati!$B$21,1,IF(MKN_23.p!F16=Dati!$B$22,1,IF(MKN_23.p!F16=Dati!$B$23,1,IF(MKN_23.p!F16=Dati!$B$24,1,0))))))</f>
        <v>0</v>
      </c>
      <c r="H33" s="75">
        <f>IF(MKN_23.p!G16=Dati!$F$19,1,0)</f>
        <v>0</v>
      </c>
      <c r="I33" s="78">
        <f t="shared" si="0"/>
        <v>0</v>
      </c>
      <c r="J33" s="72"/>
      <c r="K33" s="72"/>
      <c r="L33" s="72"/>
    </row>
    <row r="34" spans="2:12" ht="15.75" x14ac:dyDescent="0.25">
      <c r="B34" s="92" t="s">
        <v>108</v>
      </c>
      <c r="C34" s="72">
        <v>9.4999999999999998E-3</v>
      </c>
      <c r="D34" s="72" t="s">
        <v>111</v>
      </c>
      <c r="E34" s="88" t="s">
        <v>112</v>
      </c>
      <c r="F34" s="72"/>
      <c r="G34" s="75">
        <f>IF(MKN_23.p!F17=Dati!$B$19,1,IF(MKN_23.p!F17=Dati!$B$20,1,IF(MKN_23.p!F17=Dati!$B$21,1,IF(MKN_23.p!F17=Dati!$B$22,1,IF(MKN_23.p!F17=Dati!$B$23,1,IF(MKN_23.p!F17=Dati!$B$24,1,0))))))</f>
        <v>0</v>
      </c>
      <c r="H34" s="75">
        <f>IF(MKN_23.p!G17=Dati!$F$19,1,0)</f>
        <v>0</v>
      </c>
      <c r="I34" s="78">
        <f t="shared" si="0"/>
        <v>0</v>
      </c>
      <c r="J34" s="72"/>
      <c r="K34" s="72"/>
      <c r="L34" s="72"/>
    </row>
    <row r="35" spans="2:12" x14ac:dyDescent="0.25">
      <c r="B35" s="72"/>
      <c r="C35" s="72"/>
      <c r="D35" s="72" t="s">
        <v>27</v>
      </c>
      <c r="E35" s="73" t="s">
        <v>90</v>
      </c>
      <c r="F35" s="72"/>
      <c r="G35" s="75">
        <f>IF(MKN_23.p!F18=Dati!$B$19,1,IF(MKN_23.p!F18=Dati!$B$20,1,IF(MKN_23.p!F18=Dati!$B$21,1,IF(MKN_23.p!F18=Dati!$B$22,1,IF(MKN_23.p!F18=Dati!$B$23,1,IF(MKN_23.p!F18=Dati!$B$24,1,0))))))</f>
        <v>0</v>
      </c>
      <c r="H35" s="75">
        <f>IF(MKN_23.p!G18=Dati!$F$19,1,0)</f>
        <v>0</v>
      </c>
      <c r="I35" s="78">
        <f t="shared" si="0"/>
        <v>0</v>
      </c>
      <c r="J35" s="72"/>
      <c r="K35" s="72"/>
      <c r="L35" s="72"/>
    </row>
    <row r="36" spans="2:12" x14ac:dyDescent="0.25">
      <c r="B36" s="72"/>
      <c r="C36" s="72"/>
      <c r="D36" s="72" t="s">
        <v>28</v>
      </c>
      <c r="E36" s="73" t="s">
        <v>83</v>
      </c>
      <c r="F36" s="72"/>
      <c r="G36" s="75">
        <f>IF(MKN_23.p!F19=Dati!$B$19,1,IF(MKN_23.p!F19=Dati!$B$20,1,IF(MKN_23.p!F19=Dati!$B$21,1,IF(MKN_23.p!F19=Dati!$B$22,1,IF(MKN_23.p!F19=Dati!$B$23,1,IF(MKN_23.p!F19=Dati!$B$24,1,0))))))</f>
        <v>0</v>
      </c>
      <c r="H36" s="75">
        <f>IF(MKN_23.p!G19=Dati!$F$19,1,0)</f>
        <v>0</v>
      </c>
      <c r="I36" s="78">
        <f t="shared" si="0"/>
        <v>0</v>
      </c>
      <c r="J36" s="72"/>
      <c r="K36" s="72"/>
      <c r="L36" s="72"/>
    </row>
    <row r="37" spans="2:12" x14ac:dyDescent="0.25">
      <c r="B37" s="72"/>
      <c r="C37" s="72"/>
      <c r="D37" s="72" t="s">
        <v>79</v>
      </c>
      <c r="E37" s="73" t="s">
        <v>86</v>
      </c>
      <c r="F37" s="72"/>
      <c r="G37" s="75">
        <f>IF(MKN_23.p!F20=Dati!$B$19,1,IF(MKN_23.p!F20=Dati!$B$20,1,IF(MKN_23.p!F20=Dati!$B$21,1,IF(MKN_23.p!F20=Dati!$B$22,1,IF(MKN_23.p!F20=Dati!$B$23,1,IF(MKN_23.p!F20=Dati!$B$24,1,0))))))</f>
        <v>0</v>
      </c>
      <c r="H37" s="75">
        <f>IF(MKN_23.p!G20=Dati!$F$19,1,0)</f>
        <v>0</v>
      </c>
      <c r="I37" s="78">
        <f t="shared" si="0"/>
        <v>0</v>
      </c>
      <c r="J37" s="72"/>
      <c r="K37" s="72"/>
      <c r="L37" s="72"/>
    </row>
    <row r="38" spans="2:12" x14ac:dyDescent="0.25">
      <c r="B38" s="87"/>
      <c r="C38" s="72">
        <v>1</v>
      </c>
      <c r="D38" s="72" t="s">
        <v>96</v>
      </c>
      <c r="E38" s="73"/>
      <c r="F38" s="72"/>
      <c r="G38" s="75">
        <f>IF(MKN_23.p!F21=Dati!$B$19,1,IF(MKN_23.p!F21=Dati!$B$20,1,IF(MKN_23.p!F21=Dati!$B$21,1,IF(MKN_23.p!F21=Dati!$B$22,1,IF(MKN_23.p!F21=Dati!$B$23,1,IF(MKN_23.p!F21=Dati!$B$24,1,0))))))</f>
        <v>0</v>
      </c>
      <c r="H38" s="75">
        <f>IF(MKN_23.p!G21=Dati!$F$19,1,0)</f>
        <v>0</v>
      </c>
      <c r="I38" s="78">
        <f t="shared" si="0"/>
        <v>0</v>
      </c>
      <c r="J38" s="72"/>
      <c r="K38" s="72"/>
      <c r="L38" s="72"/>
    </row>
    <row r="39" spans="2:12" x14ac:dyDescent="0.25">
      <c r="B39" s="72"/>
      <c r="C39" s="72"/>
      <c r="D39" s="72" t="s">
        <v>112</v>
      </c>
      <c r="E39" s="73"/>
      <c r="F39" s="72"/>
      <c r="G39" s="75">
        <f>IF(MKN_23.p!F22=Dati!$B$19,1,IF(MKN_23.p!F22=Dati!$B$20,1,IF(MKN_23.p!F22=Dati!$B$21,1,IF(MKN_23.p!F22=Dati!$B$22,1,IF(MKN_23.p!F22=Dati!$B$23,1,IF(MKN_23.p!F22=Dati!$B$24,1,0))))))</f>
        <v>0</v>
      </c>
      <c r="H39" s="75">
        <f>IF(MKN_23.p!G22=Dati!$F$19,1,0)</f>
        <v>0</v>
      </c>
      <c r="I39" s="78">
        <f t="shared" si="0"/>
        <v>0</v>
      </c>
      <c r="J39" s="72"/>
      <c r="K39" s="72"/>
      <c r="L39" s="72"/>
    </row>
    <row r="40" spans="2:12" x14ac:dyDescent="0.25">
      <c r="B40" s="72"/>
      <c r="C40" s="72"/>
      <c r="D40" s="72"/>
      <c r="E40" s="73"/>
      <c r="F40" s="72"/>
      <c r="G40" s="75">
        <f>IF(MKN_23.p!F23=Dati!$B$19,1,IF(MKN_23.p!F23=Dati!$B$20,1,IF(MKN_23.p!F23=Dati!$B$21,1,IF(MKN_23.p!F23=Dati!$B$22,1,IF(MKN_23.p!F23=Dati!$B$23,1,IF(MKN_23.p!F23=Dati!$B$24,1,0))))))</f>
        <v>0</v>
      </c>
      <c r="H40" s="75">
        <f>IF(MKN_23.p!G23=Dati!$F$19,1,0)</f>
        <v>0</v>
      </c>
      <c r="I40" s="78">
        <f t="shared" si="0"/>
        <v>0</v>
      </c>
      <c r="J40" s="72"/>
      <c r="K40" s="72"/>
      <c r="L40" s="72"/>
    </row>
    <row r="41" spans="2:12" x14ac:dyDescent="0.25">
      <c r="B41" s="72"/>
      <c r="C41" s="72"/>
      <c r="D41" s="72"/>
      <c r="E41" s="73"/>
      <c r="F41" s="72"/>
      <c r="G41" s="75">
        <f>IF(MKN_23.p!F24=Dati!$B$19,1,IF(MKN_23.p!F24=Dati!$B$20,1,IF(MKN_23.p!F24=Dati!$B$21,1,IF(MKN_23.p!F24=Dati!$B$22,1,IF(MKN_23.p!F24=Dati!$B$23,1,IF(MKN_23.p!F24=Dati!$B$24,1,0))))))</f>
        <v>0</v>
      </c>
      <c r="H41" s="75">
        <f>IF(MKN_23.p!G24=Dati!$F$19,1,0)</f>
        <v>0</v>
      </c>
      <c r="I41" s="78">
        <f t="shared" si="0"/>
        <v>0</v>
      </c>
      <c r="J41" s="72"/>
      <c r="K41" s="72"/>
      <c r="L41" s="72"/>
    </row>
    <row r="42" spans="2:12" x14ac:dyDescent="0.25">
      <c r="B42" s="72"/>
      <c r="C42" s="72"/>
      <c r="D42" s="72"/>
      <c r="E42" s="73"/>
      <c r="F42" s="72"/>
      <c r="G42" s="75">
        <f>IF(MKN_23.p!F25=Dati!$B$19,1,IF(MKN_23.p!F25=Dati!$B$20,1,IF(MKN_23.p!F25=Dati!$B$21,1,IF(MKN_23.p!F25=Dati!$B$22,1,IF(MKN_23.p!F25=Dati!$B$23,1,IF(MKN_23.p!F25=Dati!$B$24,1,0))))))</f>
        <v>0</v>
      </c>
      <c r="H42" s="75">
        <f>IF(MKN_23.p!G25=Dati!$F$19,1,0)</f>
        <v>0</v>
      </c>
      <c r="I42" s="78">
        <f t="shared" si="0"/>
        <v>0</v>
      </c>
      <c r="J42" s="72"/>
      <c r="K42" s="72"/>
      <c r="L42" s="72"/>
    </row>
    <row r="43" spans="2:12" x14ac:dyDescent="0.25">
      <c r="G43" s="75">
        <f>IF(MKN_23.p!F26=Dati!$B$19,1,IF(MKN_23.p!F26=Dati!$B$20,1,IF(MKN_23.p!F26=Dati!$B$21,1,IF(MKN_23.p!F26=Dati!$B$22,1,IF(MKN_23.p!F26=Dati!$B$23,1,IF(MKN_23.p!F26=Dati!$B$24,1,0))))))</f>
        <v>0</v>
      </c>
      <c r="H43" s="75">
        <f>IF(MKN_23.p!G26=Dati!$F$19,1,0)</f>
        <v>0</v>
      </c>
      <c r="I43" s="78">
        <f t="shared" ref="I43:I52" si="1">G43+H43</f>
        <v>0</v>
      </c>
    </row>
    <row r="44" spans="2:12" x14ac:dyDescent="0.25">
      <c r="G44" s="75">
        <f>IF(MKN_23.p!F27=Dati!$B$19,1,IF(MKN_23.p!F27=Dati!$B$20,1,IF(MKN_23.p!F27=Dati!$B$21,1,IF(MKN_23.p!F27=Dati!$B$22,1,IF(MKN_23.p!F27=Dati!$B$23,1,IF(MKN_23.p!F27=Dati!$B$24,1,0))))))</f>
        <v>0</v>
      </c>
      <c r="H44" s="75">
        <f>IF(MKN_23.p!G27=Dati!$F$19,1,0)</f>
        <v>0</v>
      </c>
      <c r="I44" s="78">
        <f t="shared" si="1"/>
        <v>0</v>
      </c>
    </row>
    <row r="45" spans="2:12" x14ac:dyDescent="0.25">
      <c r="G45" s="75">
        <f>IF(MKN_23.p!F28=Dati!$B$19,1,IF(MKN_23.p!F28=Dati!$B$20,1,IF(MKN_23.p!F28=Dati!$B$21,1,IF(MKN_23.p!F28=Dati!$B$22,1,IF(MKN_23.p!F28=Dati!$B$23,1,IF(MKN_23.p!F28=Dati!$B$24,1,0))))))</f>
        <v>0</v>
      </c>
      <c r="H45" s="75">
        <f>IF(MKN_23.p!G28=Dati!$F$19,1,0)</f>
        <v>0</v>
      </c>
      <c r="I45" s="78">
        <f t="shared" si="1"/>
        <v>0</v>
      </c>
    </row>
    <row r="46" spans="2:12" x14ac:dyDescent="0.25">
      <c r="G46" s="75">
        <f>IF(MKN_23.p!F29=Dati!$B$19,1,IF(MKN_23.p!F29=Dati!$B$20,1,IF(MKN_23.p!F29=Dati!$B$21,1,IF(MKN_23.p!F29=Dati!$B$22,1,IF(MKN_23.p!F29=Dati!$B$23,1,IF(MKN_23.p!F29=Dati!$B$24,1,0))))))</f>
        <v>0</v>
      </c>
      <c r="H46" s="75">
        <f>IF(MKN_23.p!G29=Dati!$F$19,1,0)</f>
        <v>0</v>
      </c>
      <c r="I46" s="78">
        <f t="shared" si="1"/>
        <v>0</v>
      </c>
    </row>
    <row r="47" spans="2:12" x14ac:dyDescent="0.25">
      <c r="G47" s="75">
        <f>IF(MKN_23.p!F30=Dati!$B$19,1,IF(MKN_23.p!F30=Dati!$B$20,1,IF(MKN_23.p!F30=Dati!$B$21,1,IF(MKN_23.p!F30=Dati!$B$22,1,IF(MKN_23.p!F30=Dati!$B$23,1,IF(MKN_23.p!F30=Dati!$B$24,1,0))))))</f>
        <v>0</v>
      </c>
      <c r="H47" s="75">
        <f>IF(MKN_23.p!G30=Dati!$F$19,1,0)</f>
        <v>0</v>
      </c>
      <c r="I47" s="78">
        <f t="shared" si="1"/>
        <v>0</v>
      </c>
    </row>
    <row r="48" spans="2:12" x14ac:dyDescent="0.25">
      <c r="G48" s="75">
        <f>IF(MKN_23.p!F31=Dati!$B$19,1,IF(MKN_23.p!F31=Dati!$B$20,1,IF(MKN_23.p!F31=Dati!$B$21,1,IF(MKN_23.p!F31=Dati!$B$22,1,IF(MKN_23.p!F31=Dati!$B$23,1,IF(MKN_23.p!F31=Dati!$B$24,1,0))))))</f>
        <v>0</v>
      </c>
      <c r="H48" s="75">
        <f>IF(MKN_23.p!G31=Dati!$F$19,1,0)</f>
        <v>0</v>
      </c>
      <c r="I48" s="78">
        <f t="shared" si="1"/>
        <v>0</v>
      </c>
    </row>
    <row r="49" spans="7:9" x14ac:dyDescent="0.25">
      <c r="G49" s="75">
        <f>IF(MKN_23.p!F32=Dati!$B$19,1,IF(MKN_23.p!F32=Dati!$B$20,1,IF(MKN_23.p!F32=Dati!$B$21,1,IF(MKN_23.p!F32=Dati!$B$22,1,IF(MKN_23.p!F32=Dati!$B$23,1,IF(MKN_23.p!F32=Dati!$B$24,1,0))))))</f>
        <v>0</v>
      </c>
      <c r="H49" s="75">
        <f>IF(MKN_23.p!G32=Dati!$F$19,1,0)</f>
        <v>0</v>
      </c>
      <c r="I49" s="78">
        <f t="shared" si="1"/>
        <v>0</v>
      </c>
    </row>
    <row r="50" spans="7:9" x14ac:dyDescent="0.25">
      <c r="G50" s="75">
        <f>IF(MKN_23.p!F33=Dati!$B$19,1,IF(MKN_23.p!F33=Dati!$B$20,1,IF(MKN_23.p!F33=Dati!$B$21,1,IF(MKN_23.p!F33=Dati!$B$22,1,IF(MKN_23.p!F33=Dati!$B$23,1,IF(MKN_23.p!F33=Dati!$B$24,1,0))))))</f>
        <v>0</v>
      </c>
      <c r="H50" s="75">
        <f>IF(MKN_23.p!G33=Dati!$F$19,1,0)</f>
        <v>0</v>
      </c>
      <c r="I50" s="78">
        <f t="shared" si="1"/>
        <v>0</v>
      </c>
    </row>
    <row r="51" spans="7:9" x14ac:dyDescent="0.25">
      <c r="G51" s="75">
        <f>IF(MKN_23.p!F34=Dati!$B$19,1,IF(MKN_23.p!F34=Dati!$B$20,1,IF(MKN_23.p!F34=Dati!$B$21,1,IF(MKN_23.p!F34=Dati!$B$22,1,IF(MKN_23.p!F34=Dati!$B$23,1,IF(MKN_23.p!F34=Dati!$B$24,1,0))))))</f>
        <v>0</v>
      </c>
      <c r="H51" s="75">
        <f>IF(MKN_23.p!G34=Dati!$F$19,1,0)</f>
        <v>0</v>
      </c>
      <c r="I51" s="78">
        <f t="shared" si="1"/>
        <v>0</v>
      </c>
    </row>
    <row r="52" spans="7:9" x14ac:dyDescent="0.25">
      <c r="G52" s="75">
        <f>IF(MKN_23.p!F35=Dati!$B$19,1,IF(MKN_23.p!F35=Dati!$B$20,1,IF(MKN_23.p!F35=Dati!$B$21,1,IF(MKN_23.p!F35=Dati!$B$22,1,IF(MKN_23.p!F35=Dati!$B$23,1,IF(MKN_23.p!F35=Dati!$B$24,1,0))))))</f>
        <v>0</v>
      </c>
      <c r="H52" s="75">
        <f>IF(MKN_23.p!G35=Dati!$F$19,1,0)</f>
        <v>0</v>
      </c>
      <c r="I52" s="78">
        <f t="shared" si="1"/>
        <v>0</v>
      </c>
    </row>
    <row r="53" spans="7:9" x14ac:dyDescent="0.25">
      <c r="G53" s="75">
        <f>IF(MKN_23.p!F36=Dati!$B$19,1,IF(MKN_23.p!F36=Dati!$B$20,1,IF(MKN_23.p!F36=Dati!$B$21,1,IF(MKN_23.p!F36=Dati!$B$22,1,IF(MKN_23.p!F36=Dati!$B$23,1,IF(MKN_23.p!F36=Dati!$B$24,1,0))))))</f>
        <v>0</v>
      </c>
      <c r="H53" s="75">
        <f>IF(MKN_23.p!G36=Dati!$F$19,1,0)</f>
        <v>0</v>
      </c>
      <c r="I53" s="78">
        <f t="shared" ref="I53:I55" si="2">G53+H53</f>
        <v>0</v>
      </c>
    </row>
    <row r="54" spans="7:9" x14ac:dyDescent="0.25">
      <c r="G54" s="75">
        <f>IF(MKN_23.p!F37=Dati!$B$19,1,IF(MKN_23.p!F37=Dati!$B$20,1,IF(MKN_23.p!F37=Dati!$B$21,1,IF(MKN_23.p!F37=Dati!$B$22,1,IF(MKN_23.p!F37=Dati!$B$23,1,IF(MKN_23.p!F37=Dati!$B$24,1,0))))))</f>
        <v>0</v>
      </c>
      <c r="H54" s="75">
        <f>IF(MKN_23.p!G37=Dati!$F$19,1,0)</f>
        <v>0</v>
      </c>
      <c r="I54" s="78">
        <f t="shared" si="2"/>
        <v>0</v>
      </c>
    </row>
    <row r="55" spans="7:9" x14ac:dyDescent="0.25">
      <c r="G55" s="75">
        <f>IF(MKN_23.p!F38=Dati!$B$19,1,IF(MKN_23.p!F38=Dati!$B$20,1,IF(MKN_23.p!F38=Dati!$B$21,1,IF(MKN_23.p!F38=Dati!$B$22,1,IF(MKN_23.p!F38=Dati!$B$23,1,IF(MKN_23.p!F38=Dati!$B$24,1,0))))))</f>
        <v>0</v>
      </c>
      <c r="H55" s="75">
        <f>IF(MKN_23.p!G38=Dati!$F$19,1,0)</f>
        <v>0</v>
      </c>
      <c r="I55" s="78">
        <f t="shared" si="2"/>
        <v>0</v>
      </c>
    </row>
    <row r="56" spans="7:9" x14ac:dyDescent="0.25">
      <c r="G56" s="75">
        <f>IF(MKN_23.p!F39=Dati!$B$19,1,IF(MKN_23.p!F39=Dati!$B$20,1,IF(MKN_23.p!F39=Dati!$B$21,1,IF(MKN_23.p!F39=Dati!$B$22,1,IF(MKN_23.p!F39=Dati!$B$23,1,IF(MKN_23.p!F39=Dati!$B$24,1,0))))))</f>
        <v>0</v>
      </c>
      <c r="H56" s="75">
        <f>IF(MKN_23.p!G39=Dati!$F$19,1,0)</f>
        <v>0</v>
      </c>
      <c r="I56" s="78">
        <f t="shared" ref="I56:I57" si="3">G56+H56</f>
        <v>0</v>
      </c>
    </row>
    <row r="57" spans="7:9" x14ac:dyDescent="0.25">
      <c r="G57" s="75">
        <f>IF(MKN_23.p!F40=Dati!$B$19,1,IF(MKN_23.p!F40=Dati!$B$20,1,IF(MKN_23.p!F40=Dati!$B$21,1,IF(MKN_23.p!F40=Dati!$B$22,1,IF(MKN_23.p!F40=Dati!$B$23,1,IF(MKN_23.p!F40=Dati!$B$24,1,0))))))</f>
        <v>0</v>
      </c>
      <c r="H57" s="75">
        <f>IF(MKN_23.p!G40=Dati!$F$19,1,0)</f>
        <v>0</v>
      </c>
      <c r="I57" s="78">
        <f t="shared" si="3"/>
        <v>0</v>
      </c>
    </row>
  </sheetData>
  <sheetProtection algorithmName="SHA-512" hashValue="EtsZGpVaJd/Ud0q9f/C08inx1gHgiwZryG4zQQIXvAlRPW4uRZab/UwHoQF85x73iRw5c6F9qhJDIcQ17kNElw==" saltValue="aD3bZiO7wWuGGZk8hWJP/w==" spinCount="100000" sheet="1" objects="1" scenarios="1" selectLockedCells="1" selectUnlockedCells="1"/>
  <mergeCells count="2">
    <mergeCell ref="C2:D2"/>
    <mergeCell ref="G25:I25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16DE-4C0C-4198-8467-049312212C1A}">
  <sheetPr>
    <tabColor theme="9" tint="0.79998168889431442"/>
    <pageSetUpPr fitToPage="1"/>
  </sheetPr>
  <dimension ref="A1:AO75"/>
  <sheetViews>
    <sheetView showGridLines="0" zoomScale="80" zoomScaleNormal="80" zoomScaleSheetLayoutView="90" workbookViewId="0">
      <selection activeCell="V19" sqref="A1:XFD1048576"/>
    </sheetView>
  </sheetViews>
  <sheetFormatPr defaultColWidth="8.85546875" defaultRowHeight="15" x14ac:dyDescent="0.25"/>
  <cols>
    <col min="1" max="1" width="1.28515625" style="93" customWidth="1"/>
    <col min="2" max="2" width="23.5703125" style="72" customWidth="1"/>
    <col min="3" max="3" width="14.85546875" style="72" customWidth="1"/>
    <col min="4" max="4" width="15.5703125" style="72" customWidth="1"/>
    <col min="5" max="5" width="13.7109375" style="72" customWidth="1"/>
    <col min="6" max="6" width="40.42578125" style="72" customWidth="1"/>
    <col min="7" max="7" width="13" style="72" customWidth="1"/>
    <col min="8" max="8" width="15.28515625" style="72" customWidth="1"/>
    <col min="9" max="9" width="9.5703125" style="72" customWidth="1"/>
    <col min="10" max="10" width="14.42578125" style="72" customWidth="1"/>
    <col min="11" max="11" width="14" style="72" customWidth="1"/>
    <col min="12" max="12" width="4.85546875" style="72" customWidth="1"/>
    <col min="13" max="13" width="17.5703125" style="72" customWidth="1"/>
    <col min="14" max="14" width="13.7109375" style="72" customWidth="1"/>
    <col min="15" max="15" width="14.7109375" style="72" customWidth="1"/>
    <col min="16" max="16" width="13" style="72" customWidth="1"/>
    <col min="17" max="17" width="22" style="72" customWidth="1"/>
    <col min="18" max="19" width="9.5703125" style="72" customWidth="1"/>
    <col min="20" max="20" width="5.42578125" style="72" customWidth="1"/>
    <col min="21" max="21" width="10.140625" style="72" customWidth="1"/>
    <col min="22" max="22" width="15" style="72" customWidth="1"/>
    <col min="23" max="23" width="13.42578125" style="93" customWidth="1"/>
    <col min="24" max="41" width="8.85546875" style="93"/>
    <col min="42" max="16384" width="8.85546875" style="72"/>
  </cols>
  <sheetData>
    <row r="1" spans="1:41" s="93" customFormat="1" ht="4.1500000000000004" customHeight="1" x14ac:dyDescent="0.25">
      <c r="B1" s="94"/>
      <c r="C1" s="95"/>
      <c r="D1" s="94"/>
      <c r="E1" s="94"/>
      <c r="F1" s="94"/>
      <c r="G1" s="94"/>
      <c r="H1" s="94"/>
      <c r="I1" s="94"/>
      <c r="J1" s="94"/>
      <c r="K1" s="94"/>
      <c r="M1" s="94"/>
      <c r="N1" s="94"/>
      <c r="O1" s="94"/>
      <c r="P1" s="94"/>
      <c r="Q1" s="94"/>
      <c r="R1" s="94"/>
      <c r="S1" s="94"/>
    </row>
    <row r="2" spans="1:41" ht="33" x14ac:dyDescent="0.25">
      <c r="B2" s="259" t="s">
        <v>0</v>
      </c>
      <c r="C2" s="260"/>
      <c r="D2" s="260"/>
      <c r="E2" s="260"/>
      <c r="F2" s="96"/>
      <c r="G2" s="265" t="s">
        <v>1</v>
      </c>
      <c r="H2" s="265"/>
      <c r="I2" s="265"/>
      <c r="J2" s="265"/>
      <c r="K2" s="265"/>
      <c r="L2" s="266"/>
      <c r="M2" s="97"/>
      <c r="N2" s="272" t="s">
        <v>2</v>
      </c>
      <c r="O2" s="273"/>
      <c r="P2" s="273"/>
      <c r="Q2" s="273"/>
      <c r="R2" s="273"/>
      <c r="S2" s="273"/>
      <c r="T2" s="273"/>
      <c r="U2" s="273"/>
      <c r="V2" s="274"/>
    </row>
    <row r="3" spans="1:41" s="88" customFormat="1" ht="15.6" customHeight="1" x14ac:dyDescent="0.25">
      <c r="A3" s="98"/>
      <c r="B3" s="261"/>
      <c r="C3" s="262"/>
      <c r="D3" s="262"/>
      <c r="E3" s="262"/>
      <c r="F3" s="99"/>
      <c r="G3" s="281" t="s">
        <v>3</v>
      </c>
      <c r="H3" s="281"/>
      <c r="I3" s="281"/>
      <c r="J3" s="281"/>
      <c r="K3" s="281"/>
      <c r="L3" s="282"/>
      <c r="M3" s="97"/>
      <c r="N3" s="275"/>
      <c r="O3" s="276"/>
      <c r="P3" s="276"/>
      <c r="Q3" s="276"/>
      <c r="R3" s="276"/>
      <c r="S3" s="276"/>
      <c r="T3" s="276"/>
      <c r="U3" s="276"/>
      <c r="V3" s="277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</row>
    <row r="4" spans="1:41" s="88" customFormat="1" ht="15.6" customHeight="1" x14ac:dyDescent="0.25">
      <c r="A4" s="98"/>
      <c r="B4" s="261"/>
      <c r="C4" s="262"/>
      <c r="D4" s="262"/>
      <c r="E4" s="262"/>
      <c r="F4" s="99"/>
      <c r="G4" s="283" t="s">
        <v>4</v>
      </c>
      <c r="H4" s="283"/>
      <c r="I4" s="283"/>
      <c r="J4" s="283"/>
      <c r="K4" s="283"/>
      <c r="L4" s="284"/>
      <c r="M4" s="97"/>
      <c r="N4" s="278"/>
      <c r="O4" s="279"/>
      <c r="P4" s="279"/>
      <c r="Q4" s="279"/>
      <c r="R4" s="279"/>
      <c r="S4" s="279"/>
      <c r="T4" s="279"/>
      <c r="U4" s="279"/>
      <c r="V4" s="280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</row>
    <row r="5" spans="1:41" s="88" customFormat="1" ht="15.6" customHeight="1" x14ac:dyDescent="0.3">
      <c r="A5" s="98"/>
      <c r="B5" s="263"/>
      <c r="C5" s="264"/>
      <c r="D5" s="264"/>
      <c r="E5" s="264"/>
      <c r="F5" s="100"/>
      <c r="G5" s="285" t="s">
        <v>5</v>
      </c>
      <c r="H5" s="285"/>
      <c r="I5" s="285"/>
      <c r="J5" s="285"/>
      <c r="K5" s="285"/>
      <c r="L5" s="286"/>
      <c r="M5" s="101"/>
      <c r="N5" s="270" t="e">
        <f>ROUND(I29-R29,3)</f>
        <v>#DIV/0!</v>
      </c>
      <c r="O5" s="271"/>
      <c r="P5" s="271"/>
      <c r="Q5" s="271"/>
      <c r="R5" s="271"/>
      <c r="S5" s="271"/>
      <c r="T5" s="271"/>
      <c r="U5" s="271"/>
      <c r="V5" s="254" t="e">
        <f>IF(N5=X5,N5,_xlfn.CONCAT(X5," MAINĪTS, kur starpība ", X5-N5))</f>
        <v>#DIV/0!</v>
      </c>
      <c r="W5" s="254"/>
      <c r="X5" s="102" t="e" cm="1">
        <f t="array" ref="X5:AF5">'Projekta dati'!M5:U5</f>
        <v>#DIV/0!</v>
      </c>
      <c r="Y5" s="103">
        <v>0</v>
      </c>
      <c r="Z5" s="103">
        <v>0</v>
      </c>
      <c r="AA5" s="103">
        <v>0</v>
      </c>
      <c r="AB5" s="103">
        <v>0</v>
      </c>
      <c r="AC5" s="103">
        <v>0</v>
      </c>
      <c r="AD5" s="103">
        <v>0</v>
      </c>
      <c r="AE5" s="103">
        <v>0</v>
      </c>
      <c r="AF5" s="98">
        <v>0</v>
      </c>
      <c r="AG5" s="98"/>
      <c r="AH5" s="98"/>
      <c r="AI5" s="98"/>
      <c r="AJ5" s="98"/>
      <c r="AK5" s="98"/>
      <c r="AL5" s="98"/>
      <c r="AM5" s="98"/>
      <c r="AN5" s="98"/>
      <c r="AO5" s="98"/>
    </row>
    <row r="6" spans="1:41" s="89" customFormat="1" ht="5.45" customHeight="1" thickBot="1" x14ac:dyDescent="0.3">
      <c r="A6" s="104"/>
      <c r="C6" s="105"/>
      <c r="D6" s="105"/>
      <c r="E6" s="105"/>
      <c r="F6" s="105"/>
      <c r="G6" s="105"/>
      <c r="H6" s="105"/>
      <c r="I6" s="105"/>
      <c r="J6" s="105"/>
      <c r="K6" s="105"/>
      <c r="L6" s="106"/>
      <c r="M6" s="105"/>
      <c r="N6" s="106"/>
      <c r="O6" s="106"/>
      <c r="P6" s="106"/>
      <c r="Q6" s="106"/>
      <c r="R6" s="106"/>
      <c r="S6" s="106"/>
      <c r="V6" s="107"/>
      <c r="W6" s="107"/>
      <c r="X6" s="108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</row>
    <row r="7" spans="1:41" ht="16.5" thickBot="1" x14ac:dyDescent="0.3">
      <c r="C7" s="267" t="s">
        <v>6</v>
      </c>
      <c r="D7" s="267"/>
      <c r="E7" s="268"/>
      <c r="F7" s="109"/>
      <c r="G7" s="216" t="e" cm="1" vm="1">
        <f t="array" aca="1" ref="G7" ca="1">'Projekta dati'!F7:J7</f>
        <v>#VALUE!</v>
      </c>
      <c r="H7" s="216"/>
      <c r="I7" s="216"/>
      <c r="J7" s="216"/>
      <c r="K7" s="216"/>
      <c r="L7" s="110"/>
      <c r="M7" s="111"/>
      <c r="N7" s="255" t="s">
        <v>7</v>
      </c>
      <c r="O7" s="255"/>
      <c r="P7" s="255"/>
      <c r="Q7" s="255"/>
      <c r="R7" s="255"/>
      <c r="S7" s="255"/>
      <c r="T7" s="287"/>
      <c r="U7" s="112" t="e">
        <f>+Dati!G22</f>
        <v>#DIV/0!</v>
      </c>
      <c r="V7" s="254" t="e">
        <f>IF(U7='Projekta dati'!T7,U7,_xlfn.CONCAT('Projekta dati'!T7," MAINĪTS, kur starpība",'Projekta dati'!T7-U7))</f>
        <v>#DIV/0!</v>
      </c>
      <c r="W7" s="254"/>
      <c r="X7" s="113"/>
      <c r="Y7" s="72" t="s">
        <v>8</v>
      </c>
    </row>
    <row r="8" spans="1:41" ht="15.75" customHeight="1" x14ac:dyDescent="0.25">
      <c r="B8" s="111"/>
      <c r="C8" s="267" t="s">
        <v>9</v>
      </c>
      <c r="D8" s="267"/>
      <c r="E8" s="267"/>
      <c r="F8" s="267"/>
      <c r="G8" s="267"/>
      <c r="H8" s="267"/>
      <c r="I8" s="268"/>
      <c r="J8" s="37">
        <f>'Projekta dati'!I8</f>
        <v>0</v>
      </c>
      <c r="K8" s="72" t="s">
        <v>10</v>
      </c>
      <c r="L8" s="269" t="str">
        <f>IF(J8&lt;50,"Neatbilst","")</f>
        <v>Neatbilst</v>
      </c>
      <c r="M8" s="269"/>
      <c r="V8" s="107"/>
      <c r="W8" s="107"/>
      <c r="X8" s="113"/>
      <c r="Y8" s="72"/>
    </row>
    <row r="9" spans="1:41" ht="14.45" customHeight="1" x14ac:dyDescent="0.25">
      <c r="B9" s="111"/>
      <c r="C9" s="255" t="s">
        <v>11</v>
      </c>
      <c r="D9" s="255"/>
      <c r="E9" s="255"/>
      <c r="F9" s="255"/>
      <c r="G9" s="255"/>
      <c r="H9" s="255"/>
      <c r="I9" s="256"/>
      <c r="J9" s="37">
        <f>'Projekta dati'!I9</f>
        <v>0</v>
      </c>
      <c r="K9" s="72" t="s">
        <v>12</v>
      </c>
      <c r="L9" s="114"/>
      <c r="M9" s="115"/>
      <c r="N9" s="111"/>
      <c r="O9" s="257" t="s">
        <v>13</v>
      </c>
      <c r="P9" s="257"/>
      <c r="Q9" s="257"/>
      <c r="R9" s="257"/>
      <c r="S9" s="257"/>
      <c r="T9" s="258"/>
      <c r="U9" s="36">
        <f>'Projekta dati'!T9</f>
        <v>0</v>
      </c>
      <c r="V9" s="107"/>
      <c r="W9" s="107"/>
      <c r="X9" s="113"/>
      <c r="Y9" s="72" t="s">
        <v>8</v>
      </c>
    </row>
    <row r="10" spans="1:41" ht="14.45" customHeight="1" x14ac:dyDescent="0.25">
      <c r="B10" s="111"/>
      <c r="C10" s="255" t="s">
        <v>14</v>
      </c>
      <c r="D10" s="255"/>
      <c r="E10" s="255"/>
      <c r="F10" s="255"/>
      <c r="G10" s="255"/>
      <c r="H10" s="255"/>
      <c r="I10" s="256"/>
      <c r="J10" s="36">
        <f>'Projekta dati'!I10</f>
        <v>0</v>
      </c>
      <c r="K10" s="72" t="s">
        <v>8</v>
      </c>
      <c r="L10" s="269" t="str">
        <f>IF(J10&gt;50,"Neatbilst","")</f>
        <v/>
      </c>
      <c r="M10" s="269"/>
      <c r="O10" s="257" t="s">
        <v>15</v>
      </c>
      <c r="P10" s="257"/>
      <c r="Q10" s="257"/>
      <c r="R10" s="257"/>
      <c r="S10" s="257"/>
      <c r="T10" s="258"/>
      <c r="U10" s="36">
        <f>'Projekta dati'!T10</f>
        <v>0</v>
      </c>
      <c r="V10" s="107"/>
      <c r="W10" s="107"/>
      <c r="X10" s="113"/>
      <c r="Y10" s="72" t="s">
        <v>16</v>
      </c>
    </row>
    <row r="11" spans="1:41" s="116" customFormat="1" ht="4.1500000000000004" customHeight="1" x14ac:dyDescent="0.25">
      <c r="A11" s="93"/>
      <c r="C11" s="289"/>
      <c r="D11" s="289"/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89"/>
      <c r="V11" s="107"/>
      <c r="W11" s="107"/>
      <c r="X11" s="11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</row>
    <row r="12" spans="1:41" s="116" customFormat="1" ht="13.9" customHeight="1" x14ac:dyDescent="0.25">
      <c r="A12" s="93"/>
      <c r="C12" s="5"/>
      <c r="D12" s="290" t="s">
        <v>17</v>
      </c>
      <c r="E12" s="291"/>
      <c r="F12" s="291"/>
      <c r="G12" s="291"/>
      <c r="H12" s="291"/>
      <c r="I12" s="15"/>
      <c r="J12" s="15"/>
      <c r="K12" s="15"/>
      <c r="L12" s="5"/>
      <c r="M12" s="290" t="s">
        <v>18</v>
      </c>
      <c r="N12" s="291"/>
      <c r="O12" s="291"/>
      <c r="P12" s="291"/>
      <c r="Q12" s="292" t="s">
        <v>19</v>
      </c>
      <c r="R12" s="293"/>
      <c r="S12" s="293"/>
      <c r="T12" s="293"/>
      <c r="U12" s="224" t="e">
        <f>IF(R27="42.2. siltumsūkņa (zeme–ūdens, ūdens–ūdens vai gaiss–ūdens) iegāde", ROUND(I26/3*1000, 2),IF(R27="42.4. siltumsūkņa (gaiss–gaiss) iegāde un uzstādīšana", ROUND(I26/3*1000, 2), 0))</f>
        <v>#DIV/0!</v>
      </c>
      <c r="V12" s="107"/>
      <c r="W12" s="107"/>
      <c r="X12" s="11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</row>
    <row r="13" spans="1:41" s="88" customFormat="1" ht="15.6" customHeight="1" x14ac:dyDescent="0.25">
      <c r="A13" s="98"/>
      <c r="B13" s="294" t="s">
        <v>20</v>
      </c>
      <c r="C13" s="296"/>
      <c r="D13" s="117" t="str" cm="1">
        <f t="array" ref="D13:G13">'Projekta dati'!D13:G13</f>
        <v>Malka (51% mitrums)</v>
      </c>
      <c r="E13" s="118">
        <v>0</v>
      </c>
      <c r="F13" s="119">
        <v>0</v>
      </c>
      <c r="G13" s="119">
        <v>0</v>
      </c>
      <c r="H13" s="119"/>
      <c r="I13" s="14"/>
      <c r="J13" s="14"/>
      <c r="K13" s="14"/>
      <c r="L13" s="12"/>
      <c r="M13" s="120" cm="1">
        <f t="array" ref="M13:P13">'Projekta dati'!L13:O13</f>
        <v>0</v>
      </c>
      <c r="N13" s="118">
        <v>0</v>
      </c>
      <c r="O13" s="118">
        <v>0</v>
      </c>
      <c r="P13" s="118">
        <v>0</v>
      </c>
      <c r="Q13" s="293"/>
      <c r="R13" s="293"/>
      <c r="S13" s="293"/>
      <c r="T13" s="293"/>
      <c r="U13" s="225"/>
      <c r="V13" s="254" t="e">
        <f>IF(ROUND(U12=X13, 2),U12,_xlfn.CONCAT(X13,"MAINĪTS, kur starpība",ROUND(X13-U12, 2)))</f>
        <v>#DIV/0!</v>
      </c>
      <c r="W13" s="254"/>
      <c r="X13" s="102" t="e" cm="1">
        <f t="array" ref="X13:X14">ROUND('Projekta dati'!T12:T13,)</f>
        <v>#DIV/0!</v>
      </c>
      <c r="Y13" s="72" t="s">
        <v>16</v>
      </c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</row>
    <row r="14" spans="1:41" s="88" customFormat="1" ht="31.15" customHeight="1" x14ac:dyDescent="0.25">
      <c r="A14" s="98"/>
      <c r="B14" s="297" t="s">
        <v>23</v>
      </c>
      <c r="C14" s="298"/>
      <c r="D14" s="117" t="str" cm="1">
        <f t="array" ref="D14:G14">'Projekta dati'!D14:G14</f>
        <v>Koksnes biomasas krāsns (mūra, akumulējošā, piemēram, podiņkrāsns)</v>
      </c>
      <c r="E14" s="118">
        <v>0</v>
      </c>
      <c r="F14" s="119">
        <v>0</v>
      </c>
      <c r="G14" s="119">
        <v>0</v>
      </c>
      <c r="H14" s="119"/>
      <c r="I14" s="14"/>
      <c r="J14" s="14"/>
      <c r="K14" s="14"/>
      <c r="L14" s="11"/>
      <c r="M14" s="120" cm="1">
        <f t="array" ref="M14:P14">'Projekta dati'!L14:O14</f>
        <v>0</v>
      </c>
      <c r="N14" s="118">
        <v>0</v>
      </c>
      <c r="O14" s="118">
        <v>0</v>
      </c>
      <c r="P14" s="118">
        <v>0</v>
      </c>
      <c r="Q14" s="293"/>
      <c r="R14" s="293"/>
      <c r="S14" s="293"/>
      <c r="T14" s="293"/>
      <c r="V14" s="107"/>
      <c r="W14" s="107"/>
      <c r="X14" s="102">
        <v>0</v>
      </c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</row>
    <row r="15" spans="1:41" s="88" customFormat="1" ht="15.75" customHeight="1" x14ac:dyDescent="0.25">
      <c r="A15" s="98"/>
      <c r="B15" s="294" t="s">
        <v>26</v>
      </c>
      <c r="C15" s="296"/>
      <c r="D15" s="117" t="str" cm="1">
        <f t="array" ref="D15:G15">'Projekta dati'!D15:G15</f>
        <v>ber.m3</v>
      </c>
      <c r="E15" s="118">
        <v>0</v>
      </c>
      <c r="F15" s="119">
        <v>0</v>
      </c>
      <c r="G15" s="119">
        <v>0</v>
      </c>
      <c r="H15" s="119"/>
      <c r="I15" s="302"/>
      <c r="J15" s="302"/>
      <c r="K15" s="302"/>
      <c r="L15" s="11"/>
      <c r="M15" s="120" cm="1">
        <f t="array" ref="M15:P15">'Projekta dati'!L15:O15</f>
        <v>0</v>
      </c>
      <c r="N15" s="118">
        <v>0</v>
      </c>
      <c r="O15" s="118">
        <v>0</v>
      </c>
      <c r="P15" s="118">
        <v>0</v>
      </c>
      <c r="Q15" s="303" t="s">
        <v>29</v>
      </c>
      <c r="R15" s="304"/>
      <c r="S15" s="304"/>
      <c r="T15" s="304"/>
      <c r="U15" s="299" t="e">
        <f>ROUND(($U10+U12)/($U9*900)*100,2)</f>
        <v>#DIV/0!</v>
      </c>
      <c r="V15" s="107"/>
      <c r="W15" s="107"/>
      <c r="X15" s="102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</row>
    <row r="16" spans="1:41" s="88" customFormat="1" ht="15.6" customHeight="1" x14ac:dyDescent="0.25">
      <c r="A16" s="98"/>
      <c r="B16" s="297" t="s">
        <v>30</v>
      </c>
      <c r="C16" s="301"/>
      <c r="D16" s="10">
        <v>2020</v>
      </c>
      <c r="E16" s="25">
        <f>'Projekta dati'!E16</f>
        <v>0</v>
      </c>
      <c r="F16" s="27"/>
      <c r="G16" s="13" t="str">
        <f>D15</f>
        <v>ber.m3</v>
      </c>
      <c r="H16" s="288"/>
      <c r="I16" s="288"/>
      <c r="J16" s="288"/>
      <c r="K16" s="288"/>
      <c r="L16" s="11"/>
      <c r="M16" s="10">
        <v>2020</v>
      </c>
      <c r="N16" s="17">
        <f>'Projekta dati'!M16</f>
        <v>0</v>
      </c>
      <c r="O16" s="13">
        <f>M15</f>
        <v>0</v>
      </c>
      <c r="P16" s="8"/>
      <c r="Q16" s="304"/>
      <c r="R16" s="304"/>
      <c r="S16" s="304"/>
      <c r="T16" s="304"/>
      <c r="U16" s="300"/>
      <c r="V16" s="254" t="e">
        <f t="shared" ref="V16" si="0">IF(U15=X16,U15,_xlfn.CONCAT(X16,"MAINĪTS, kur starpība",X16-U15))</f>
        <v>#DIV/0!</v>
      </c>
      <c r="W16" s="254"/>
      <c r="X16" s="121" t="e" cm="1">
        <f t="array" ref="X16:X17">ROUND('Projekta dati'!T15:T16,2)</f>
        <v>#DIV/0!</v>
      </c>
      <c r="Y16" s="116" t="s">
        <v>31</v>
      </c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</row>
    <row r="17" spans="1:41" s="88" customFormat="1" ht="15.75" x14ac:dyDescent="0.25">
      <c r="A17" s="98"/>
      <c r="B17" s="297"/>
      <c r="C17" s="301"/>
      <c r="D17" s="9">
        <v>2021</v>
      </c>
      <c r="E17" s="24">
        <f>'Projekta dati'!E17</f>
        <v>0</v>
      </c>
      <c r="F17" s="27"/>
      <c r="G17" s="13" t="str">
        <f>D15</f>
        <v>ber.m3</v>
      </c>
      <c r="H17" s="288"/>
      <c r="I17" s="288"/>
      <c r="J17" s="288"/>
      <c r="K17" s="288"/>
      <c r="L17" s="11"/>
      <c r="M17" s="9">
        <v>2021</v>
      </c>
      <c r="N17" s="17">
        <f>'Projekta dati'!M17</f>
        <v>0</v>
      </c>
      <c r="O17" s="13">
        <f>M15</f>
        <v>0</v>
      </c>
      <c r="P17" s="8"/>
      <c r="Q17" s="304"/>
      <c r="R17" s="304"/>
      <c r="S17" s="304"/>
      <c r="T17" s="304"/>
      <c r="X17" s="102">
        <v>0</v>
      </c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</row>
    <row r="18" spans="1:41" s="88" customFormat="1" ht="15.75" x14ac:dyDescent="0.25">
      <c r="A18" s="98"/>
      <c r="B18" s="297"/>
      <c r="C18" s="301"/>
      <c r="D18" s="9">
        <v>2022</v>
      </c>
      <c r="E18" s="24">
        <f>'Projekta dati'!E18</f>
        <v>0</v>
      </c>
      <c r="F18" s="27"/>
      <c r="G18" s="13" t="str">
        <f>D15</f>
        <v>ber.m3</v>
      </c>
      <c r="H18" s="288"/>
      <c r="I18" s="288"/>
      <c r="J18" s="288"/>
      <c r="K18" s="288"/>
      <c r="L18" s="11"/>
      <c r="M18" s="9">
        <v>2022</v>
      </c>
      <c r="N18" s="17">
        <f>'Projekta dati'!M18</f>
        <v>0</v>
      </c>
      <c r="O18" s="13">
        <f>M15</f>
        <v>0</v>
      </c>
      <c r="P18" s="8"/>
      <c r="Q18" s="304"/>
      <c r="R18" s="304"/>
      <c r="S18" s="304"/>
      <c r="T18" s="304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</row>
    <row r="19" spans="1:41" s="88" customFormat="1" ht="56.1" customHeight="1" x14ac:dyDescent="0.25">
      <c r="A19" s="98"/>
      <c r="B19" s="294" t="s">
        <v>32</v>
      </c>
      <c r="C19" s="294"/>
      <c r="D19" s="294"/>
      <c r="E19" s="18">
        <f>AVERAGE(E16:E18)</f>
        <v>0</v>
      </c>
      <c r="F19" s="28" t="e">
        <f>IF(E19='Projekta dati'!E19,'Projekta datu parbaude'!E19,_xlfn.CONCAT('Projekta dati'!E19," MAINĪTS, kur starpība ",'Projekta dati'!E19-E19))</f>
        <v>#DIV/0!</v>
      </c>
      <c r="G19" s="13" t="str">
        <f>D15</f>
        <v>ber.m3</v>
      </c>
      <c r="H19" s="107"/>
      <c r="I19" s="107"/>
      <c r="J19" s="107"/>
      <c r="K19" s="107"/>
      <c r="L19" s="11"/>
      <c r="M19" s="30">
        <f>IF((IFERROR(AVERAGE(N16:N18),0))='Projekta dati'!M19,IFERROR(AVERAGE(N16:N18),0),_xlfn.CONCAT('Projekta dati'!M19," MAINĪTS, kur starpība ",'Projekta dati'!M19-N19))</f>
        <v>0</v>
      </c>
      <c r="N19" s="18">
        <f>IFERROR(AVERAGE(N16:N18),0)</f>
        <v>0</v>
      </c>
      <c r="O19" s="13">
        <f>M15</f>
        <v>0</v>
      </c>
      <c r="Q19" s="8"/>
      <c r="R19" s="8"/>
      <c r="S19" s="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</row>
    <row r="20" spans="1:41" s="88" customFormat="1" ht="58.5" customHeight="1" x14ac:dyDescent="0.25">
      <c r="A20" s="98"/>
      <c r="B20" s="295" t="s">
        <v>33</v>
      </c>
      <c r="C20" s="295"/>
      <c r="D20" s="295"/>
      <c r="E20" s="9">
        <f>VLOOKUP('Projekta datu parbaude'!D13,Dati!B19:D31,2,FALSE)</f>
        <v>2.1469999999999998</v>
      </c>
      <c r="F20" s="29">
        <f>IF(E20='Projekta dati'!E20,'Projekta dati'!E20,_xlfn.CONCAT('Projekta dati'!E20," MAINĪTS, kur starpība ",'Projekta dati'!E20-E20))</f>
        <v>2.1469999999999998</v>
      </c>
      <c r="G20" s="26" t="str">
        <f>VLOOKUP(D15,Dati!D35:E37,2,FALSE)</f>
        <v>MWh/ber.m3</v>
      </c>
      <c r="H20" s="34" cm="1">
        <f t="array" ref="H20:I20">'Projekta dati'!G23:H23</f>
        <v>2664</v>
      </c>
      <c r="I20" s="33">
        <v>0</v>
      </c>
      <c r="J20" s="32" t="e" cm="1">
        <f t="array" ref="J20:K20">ROUND('Projekta dati'!I23:J23,3)</f>
        <v>#DIV/0!</v>
      </c>
      <c r="K20" s="33">
        <v>0</v>
      </c>
      <c r="L20" s="11"/>
      <c r="M20" s="30">
        <f>IF('Projekta dati'!M20=N20,N20,_xlfn.CONCAT('Projekta dati'!M20," MAINĪTS, kur starpība ",N20-'Projekta dati'!M20))</f>
        <v>0</v>
      </c>
      <c r="N20" s="9">
        <f>IFERROR(VLOOKUP('Projekta datu parbaude'!M13,Dati!B19:D31,2,FALSE),0)</f>
        <v>0</v>
      </c>
      <c r="O20" s="14" t="e">
        <f>VLOOKUP(M15,Dati!D35:E37,2,FALSE)</f>
        <v>#N/A</v>
      </c>
      <c r="P20" s="14"/>
      <c r="Q20" s="8"/>
      <c r="R20" s="8"/>
      <c r="S20" s="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</row>
    <row r="21" spans="1:41" s="88" customFormat="1" ht="37.5" customHeight="1" x14ac:dyDescent="0.25">
      <c r="A21" s="98"/>
      <c r="B21" s="295" t="s">
        <v>34</v>
      </c>
      <c r="C21" s="295"/>
      <c r="D21" s="295"/>
      <c r="E21" s="9">
        <f>VLOOKUP(D14,Dati!B3:E11,4,FALSE)</f>
        <v>0.65</v>
      </c>
      <c r="F21" s="30">
        <f>IF(VLOOKUP(D14,Dati!B3:E11,4,FALSE)='Projekta dati'!E21,VLOOKUP(D14,Dati!B3:E11,4,FALSE),_xlfn.CONCAT('Projekta datu parbaude'!E21," MAINĪTS, kur starpība ", 'Projekta dati'!E21-'Projekta datu parbaude'!E21))</f>
        <v>0.65</v>
      </c>
      <c r="G21" s="6"/>
      <c r="H21" s="31">
        <f>IF(H23=H20,H23,_xlfn.CONCAT(H20," MAINĪTS, kur starpība ",H23-H20))</f>
        <v>2664</v>
      </c>
      <c r="I21" s="33"/>
      <c r="J21" s="31" t="e">
        <f>IF(J20=J23,J23,_xlfn.CONCAT(J20,"MAINĪTS, kur starpība ",J20-J23))</f>
        <v>#DIV/0!</v>
      </c>
      <c r="K21" s="33"/>
      <c r="L21" s="11"/>
      <c r="M21" s="30">
        <f>IF('Projekta dati'!M21=N21,N21,_xlfn.CONCAT('Projekta dati'!M21," MAINĪTS, kur starpība ",'Projekta dati'!M21-N21))</f>
        <v>0</v>
      </c>
      <c r="N21" s="9">
        <f>IFERROR(VLOOKUP(M14,Dati!B3:E11,4,FALSE),0)</f>
        <v>0</v>
      </c>
      <c r="O21" s="6"/>
      <c r="P21" s="119" cm="1">
        <f t="array" ref="P21:Q21">'Projekta dati'!O23:P23</f>
        <v>0</v>
      </c>
      <c r="Q21" s="119">
        <v>0</v>
      </c>
      <c r="R21" s="119" t="e" cm="1">
        <f t="array" ref="R21:S21">ROUND('Projekta dati'!Q23:R23,3)</f>
        <v>#DIV/0!</v>
      </c>
      <c r="S21" s="119">
        <v>0</v>
      </c>
      <c r="T21" s="119"/>
      <c r="U21" s="102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</row>
    <row r="22" spans="1:41" s="88" customFormat="1" ht="41.45" customHeight="1" x14ac:dyDescent="0.25">
      <c r="A22" s="98"/>
      <c r="B22" s="294" t="s">
        <v>35</v>
      </c>
      <c r="C22" s="294"/>
      <c r="D22" s="294"/>
      <c r="E22" s="9">
        <f>IF(Dati!K2=0,1,IF(Dati!K3=0,1,2.5))</f>
        <v>2.5</v>
      </c>
      <c r="F22" s="30">
        <f>IF(E22='Projekta dati'!E22,E22,_xlfn.CONCAT('Projekta dati'!E22," MAINĪTS, kur starpība ",'Projekta dati'!E22-'Projekta datu parbaude'!E22))</f>
        <v>2.5</v>
      </c>
      <c r="G22" s="6"/>
      <c r="H22" s="315" t="s">
        <v>36</v>
      </c>
      <c r="I22" s="315"/>
      <c r="J22" s="315" t="s">
        <v>37</v>
      </c>
      <c r="K22" s="315"/>
      <c r="L22" s="11"/>
      <c r="M22" s="30">
        <f>IF('Projekta dati'!M22=N22,N22,_xlfn.CONCAT('Projekta dati'!M22," MAINĪTS, kur starpība ",'Projekta dati'!M22-N22))</f>
        <v>1</v>
      </c>
      <c r="N22" s="9">
        <f>IF(Dati!L2=0,1,IF(Dati!L3=0,1,2.5))</f>
        <v>1</v>
      </c>
      <c r="O22" s="6"/>
      <c r="P22" s="315" t="s">
        <v>36</v>
      </c>
      <c r="Q22" s="315"/>
      <c r="R22" s="315" t="s">
        <v>37</v>
      </c>
      <c r="S22" s="315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</row>
    <row r="23" spans="1:41" s="88" customFormat="1" ht="15.75" x14ac:dyDescent="0.25">
      <c r="A23" s="98"/>
      <c r="B23" s="72"/>
      <c r="C23" s="316" t="s">
        <v>38</v>
      </c>
      <c r="D23" s="316"/>
      <c r="E23" s="122">
        <f>ROUND(E19*E20*E21/E22,3)</f>
        <v>0</v>
      </c>
      <c r="F23" s="123" t="e">
        <f>IF(E23='Projekta dati'!E23,'Projekta dati'!E23,_xlfn.CONCAT('Projekta dati'!E23," MAINĪTS, kur starpība ",'Projekta dati'!E23-'Projekta datu parbaude'!E23))</f>
        <v>#DIV/0!</v>
      </c>
      <c r="G23" s="111" t="s">
        <v>39</v>
      </c>
      <c r="H23" s="317">
        <f>VLOOKUP(D14,Dati!B3:E11,2,FALSE)</f>
        <v>2664</v>
      </c>
      <c r="I23" s="318"/>
      <c r="J23" s="319">
        <f>ROUND(E23*H23/1000000,3)</f>
        <v>0</v>
      </c>
      <c r="K23" s="320"/>
      <c r="L23" s="107"/>
      <c r="M23" s="124" t="e">
        <f>N23/(E23+N23)</f>
        <v>#DIV/0!</v>
      </c>
      <c r="N23" s="122">
        <f>N19*N20*N21/N22</f>
        <v>0</v>
      </c>
      <c r="O23" s="111" t="s">
        <v>39</v>
      </c>
      <c r="P23" s="317">
        <f>IFERROR(VLOOKUP(M14,Dati!B3:E11,2,FALSE),0)</f>
        <v>0</v>
      </c>
      <c r="Q23" s="318"/>
      <c r="R23" s="319" t="e">
        <f>ROUND(IF(M23&gt;30%,N23*P23/1000000,0),3)</f>
        <v>#DIV/0!</v>
      </c>
      <c r="S23" s="320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</row>
    <row r="24" spans="1:41" s="88" customFormat="1" ht="63.6" customHeight="1" thickBot="1" x14ac:dyDescent="0.3">
      <c r="A24" s="98"/>
      <c r="B24" s="72"/>
      <c r="C24" s="73"/>
      <c r="D24" s="73"/>
      <c r="E24" s="73"/>
      <c r="F24" s="73"/>
      <c r="G24" s="72"/>
      <c r="H24" s="72"/>
      <c r="I24" s="72"/>
      <c r="J24" s="72"/>
      <c r="K24" s="72"/>
      <c r="L24" s="72"/>
      <c r="M24" s="35" t="e">
        <f>IF(M23='Projekta dati'!L23,M23,_xlfn.CONCAT(ROUND('Projekta dati'!L23*100,), " MAINĪTS, kur starpība ", (ROUND(('Projekta dati'!L23-M23)*100,2))))</f>
        <v>#DIV/0!</v>
      </c>
      <c r="N24" s="125">
        <f>IF(N23='Projekta dati'!M23,N23,_xlfn.CONCAT('Projekta dati'!M23," MAINĪTS, kur starpība ",'Projekta dati'!M23-N23))</f>
        <v>0</v>
      </c>
      <c r="O24" s="72"/>
      <c r="P24" s="322">
        <f>IF(P23=P21,P23,_xlfn.CONCAT(P21," MAINĪTS, kur starpība ",P21-P23))</f>
        <v>0</v>
      </c>
      <c r="Q24" s="322"/>
      <c r="R24" s="321" t="e">
        <f t="shared" ref="R24" si="1">IF(R23=R21,R23,_xlfn.CONCAT(R21," MAINĪTS, kur starpība ",R21-R23))</f>
        <v>#DIV/0!</v>
      </c>
      <c r="S24" s="321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</row>
    <row r="25" spans="1:41" s="88" customFormat="1" ht="15.75" x14ac:dyDescent="0.25">
      <c r="A25" s="98"/>
      <c r="B25" s="72"/>
      <c r="C25" s="73"/>
      <c r="D25" s="73"/>
      <c r="E25" s="73"/>
      <c r="F25" s="73"/>
      <c r="G25" s="72"/>
      <c r="H25" s="72"/>
      <c r="I25" s="305" t="s">
        <v>40</v>
      </c>
      <c r="J25" s="306"/>
      <c r="K25" s="72"/>
      <c r="L25" s="72"/>
      <c r="M25" s="72"/>
      <c r="N25" s="73"/>
      <c r="O25" s="72"/>
      <c r="P25" s="72"/>
      <c r="Q25" s="72"/>
      <c r="R25" s="307" t="s">
        <v>41</v>
      </c>
      <c r="S25" s="308"/>
      <c r="T25" s="309"/>
      <c r="U25" s="102" t="e" cm="1">
        <f t="array" ref="U25:W25">'Projekta dati'!Q26:S26</f>
        <v>#DIV/0!</v>
      </c>
      <c r="V25" s="102">
        <v>0</v>
      </c>
      <c r="W25" s="102">
        <v>0</v>
      </c>
      <c r="X25" s="126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</row>
    <row r="26" spans="1:41" ht="54" customHeight="1" thickBot="1" x14ac:dyDescent="0.3">
      <c r="B26" s="127" t="e" cm="1">
        <f t="array" ref="B26:C26">'Projekta dati'!H26:I26</f>
        <v>#DIV/0!</v>
      </c>
      <c r="C26" s="128">
        <v>0</v>
      </c>
      <c r="D26" s="129"/>
      <c r="E26" s="129"/>
      <c r="F26" s="129"/>
      <c r="G26" s="129"/>
      <c r="H26" s="129" t="s">
        <v>42</v>
      </c>
      <c r="I26" s="310" t="e">
        <f>ROUND(IF(M23&gt;30%,E23+N23,E23),3)</f>
        <v>#DIV/0!</v>
      </c>
      <c r="J26" s="311"/>
      <c r="K26" s="30" t="e">
        <f>IF(I26=B26,I26,_xlfn.CONCAT(B26," MAINĪTS, kur starpība ",I26-B26))</f>
        <v>#DIV/0!</v>
      </c>
      <c r="L26" s="111" t="s">
        <v>39</v>
      </c>
      <c r="N26" s="129"/>
      <c r="O26" s="129"/>
      <c r="P26" s="130" t="s">
        <v>43</v>
      </c>
      <c r="Q26" s="30" t="e">
        <f>IF(R26=U25,R26,_xlfn.CONCAT(U25," MAINĪTS, kur starpība ",U25-R26))</f>
        <v>#DIV/0!</v>
      </c>
      <c r="R26" s="312" t="e">
        <f>I26</f>
        <v>#DIV/0!</v>
      </c>
      <c r="S26" s="313"/>
      <c r="T26" s="314"/>
      <c r="U26" s="115" t="s">
        <v>39</v>
      </c>
      <c r="V26" s="131" t="s">
        <v>44</v>
      </c>
    </row>
    <row r="27" spans="1:41" ht="33" customHeight="1" x14ac:dyDescent="0.25">
      <c r="B27" s="127" t="e" cm="1">
        <f t="array" ref="B27:C27">ROUND('Projekta dati'!H27:I27,1)</f>
        <v>#DIV/0!</v>
      </c>
      <c r="C27" s="132">
        <v>0</v>
      </c>
      <c r="D27" s="133"/>
      <c r="E27" s="133"/>
      <c r="F27" s="133"/>
      <c r="G27" s="133"/>
      <c r="H27" s="129" t="s">
        <v>45</v>
      </c>
      <c r="I27" s="329" t="e">
        <f>ROUND(I26*1000/J8,1)</f>
        <v>#DIV/0!</v>
      </c>
      <c r="J27" s="330"/>
      <c r="K27" s="30" t="e">
        <f>IF(I27=B27,I27,_xlfn.CONCAT(B27," MAINĪTS, kur starpība ir ",I27-B27))</f>
        <v>#DIV/0!</v>
      </c>
      <c r="L27" s="111" t="s">
        <v>46</v>
      </c>
      <c r="N27" s="134"/>
      <c r="O27" s="134"/>
      <c r="P27" s="135" t="s">
        <v>56</v>
      </c>
      <c r="R27" s="335" t="str" cm="1">
        <f t="array" ref="R27:V27">'Projekta dati'!Q27:U27</f>
        <v>42.2. siltumsūkņa (zeme–ūdens, ūdens–ūdens vai gaiss–ūdens) iegāde</v>
      </c>
      <c r="S27" s="335">
        <v>0</v>
      </c>
      <c r="T27" s="335">
        <v>0</v>
      </c>
      <c r="U27" s="335">
        <v>0</v>
      </c>
      <c r="V27" s="335">
        <v>0</v>
      </c>
      <c r="W27" s="336"/>
    </row>
    <row r="28" spans="1:41" ht="31.5" customHeight="1" x14ac:dyDescent="0.25">
      <c r="B28" s="127" t="e" cm="1">
        <f t="array" ref="B28:C28">'Projekta dati'!H28:I28</f>
        <v>#DIV/0!</v>
      </c>
      <c r="C28" s="132">
        <v>0</v>
      </c>
      <c r="D28" s="133"/>
      <c r="E28" s="133"/>
      <c r="F28" s="323" t="s">
        <v>49</v>
      </c>
      <c r="G28" s="323"/>
      <c r="H28" s="324"/>
      <c r="I28" s="331" t="e">
        <f>IF(I27&gt;Dati!K5,"NEATBILST","Atbilst")</f>
        <v>#DIV/0!</v>
      </c>
      <c r="J28" s="332"/>
      <c r="K28" s="30" t="e">
        <f>IF(I28=B28,I28,"MAINĪTS")</f>
        <v>#DIV/0!</v>
      </c>
      <c r="O28" s="135"/>
      <c r="P28" s="135" t="s">
        <v>50</v>
      </c>
      <c r="Q28" s="30">
        <f>IF(R28=V28,R28,_xlfn.CONCAT(V28," MAINĪTS, kur starpība ",V28-R28))</f>
        <v>0</v>
      </c>
      <c r="R28" s="333">
        <f>IF(R27=Dati!G6,216,0)</f>
        <v>0</v>
      </c>
      <c r="S28" s="334"/>
      <c r="U28" s="72" t="s">
        <v>51</v>
      </c>
      <c r="V28" s="113" cm="1">
        <f t="array" ref="V28:W28">'Projekta dati'!Q28:R28</f>
        <v>0</v>
      </c>
      <c r="W28" s="113">
        <v>0</v>
      </c>
    </row>
    <row r="29" spans="1:41" ht="50.45" customHeight="1" thickBot="1" x14ac:dyDescent="0.3">
      <c r="B29" s="127" t="e" cm="1">
        <f t="array" ref="B29:C29">'Projekta dati'!H29:I29</f>
        <v>#DIV/0!</v>
      </c>
      <c r="C29" s="136">
        <v>0</v>
      </c>
      <c r="D29" s="137"/>
      <c r="E29" s="137"/>
      <c r="F29" s="137"/>
      <c r="G29" s="137"/>
      <c r="H29" s="135" t="s">
        <v>52</v>
      </c>
      <c r="I29" s="325" t="e">
        <f>ROUND(J23+R23,3)</f>
        <v>#DIV/0!</v>
      </c>
      <c r="J29" s="326"/>
      <c r="K29" s="30" t="e">
        <f>IF(I29=B29,I29,_xlfn.CONCAT(B29," MAINĪTS, kur starpība ir ",B29-I29))</f>
        <v>#DIV/0!</v>
      </c>
      <c r="L29" s="111" t="s">
        <v>53</v>
      </c>
      <c r="N29" s="135"/>
      <c r="O29" s="135"/>
      <c r="P29" s="135" t="s">
        <v>54</v>
      </c>
      <c r="Q29" s="30" t="e">
        <f>IF(R29=V29,R29,_xlfn.CONCAT(V29," MAINĪTS, kur starpība ",V29-R29))</f>
        <v>#DIV/0!</v>
      </c>
      <c r="R29" s="327" t="e">
        <f>ROUND(R26*R28/1000000,3)</f>
        <v>#DIV/0!</v>
      </c>
      <c r="S29" s="328"/>
      <c r="U29" s="72" t="s">
        <v>53</v>
      </c>
      <c r="V29" s="113" t="e" cm="1">
        <f t="array" ref="V29:W29">ROUND('Projekta dati'!Q29:R29,3)</f>
        <v>#DIV/0!</v>
      </c>
      <c r="W29" s="113">
        <v>0</v>
      </c>
    </row>
    <row r="30" spans="1:41" x14ac:dyDescent="0.25">
      <c r="B30" s="127" cm="1">
        <f t="array" ref="B30:C30">'Projekta dati'!H30:I30</f>
        <v>0</v>
      </c>
      <c r="C30" s="138">
        <v>0</v>
      </c>
    </row>
    <row r="31" spans="1:41" s="93" customFormat="1" x14ac:dyDescent="0.25"/>
    <row r="32" spans="1:41" s="93" customFormat="1" x14ac:dyDescent="0.25"/>
    <row r="33" spans="8:9" s="93" customFormat="1" x14ac:dyDescent="0.25"/>
    <row r="34" spans="8:9" s="93" customFormat="1" x14ac:dyDescent="0.25"/>
    <row r="35" spans="8:9" s="93" customFormat="1" x14ac:dyDescent="0.25">
      <c r="H35" s="93" t="s">
        <v>55</v>
      </c>
      <c r="I35" s="93">
        <f>IF(J8&lt;50, 0, IF(AND(J8&gt;=50, J8&lt;=120), IF(I27&gt;180, 0, IF(AND(I27&gt;=95, I27&lt;=180), 1, 2)), IF(AND(J8&gt;120, J8&lt;=250), IF(I27&gt;150, 0, IF(AND(I27&gt;=90, I27&lt;=150), 1, 2)), IF(I27&gt;125, 0, IF(AND(I27&gt;=80, I27&lt;=125), 1, 2)))))</f>
        <v>0</v>
      </c>
    </row>
    <row r="36" spans="8:9" s="93" customFormat="1" x14ac:dyDescent="0.25"/>
    <row r="37" spans="8:9" s="93" customFormat="1" x14ac:dyDescent="0.25"/>
    <row r="38" spans="8:9" s="93" customFormat="1" x14ac:dyDescent="0.25"/>
    <row r="39" spans="8:9" s="93" customFormat="1" x14ac:dyDescent="0.25"/>
    <row r="40" spans="8:9" s="93" customFormat="1" x14ac:dyDescent="0.25"/>
    <row r="41" spans="8:9" s="93" customFormat="1" x14ac:dyDescent="0.25"/>
    <row r="42" spans="8:9" s="93" customFormat="1" x14ac:dyDescent="0.25"/>
    <row r="43" spans="8:9" s="93" customFormat="1" x14ac:dyDescent="0.25"/>
    <row r="44" spans="8:9" s="93" customFormat="1" x14ac:dyDescent="0.25"/>
    <row r="45" spans="8:9" s="93" customFormat="1" x14ac:dyDescent="0.25"/>
    <row r="46" spans="8:9" s="93" customFormat="1" x14ac:dyDescent="0.25"/>
    <row r="47" spans="8:9" s="93" customFormat="1" x14ac:dyDescent="0.25"/>
    <row r="48" spans="8:9" s="93" customFormat="1" x14ac:dyDescent="0.25"/>
    <row r="49" s="93" customFormat="1" x14ac:dyDescent="0.25"/>
    <row r="50" s="93" customFormat="1" x14ac:dyDescent="0.25"/>
    <row r="51" s="93" customFormat="1" x14ac:dyDescent="0.25"/>
    <row r="52" s="93" customFormat="1" x14ac:dyDescent="0.25"/>
    <row r="53" s="93" customFormat="1" x14ac:dyDescent="0.25"/>
    <row r="54" s="93" customFormat="1" x14ac:dyDescent="0.25"/>
    <row r="55" s="93" customFormat="1" x14ac:dyDescent="0.25"/>
    <row r="56" s="93" customFormat="1" x14ac:dyDescent="0.25"/>
    <row r="57" s="93" customFormat="1" x14ac:dyDescent="0.25"/>
    <row r="58" s="93" customFormat="1" x14ac:dyDescent="0.25"/>
    <row r="59" s="93" customFormat="1" x14ac:dyDescent="0.25"/>
    <row r="60" s="93" customFormat="1" x14ac:dyDescent="0.25"/>
    <row r="61" s="93" customFormat="1" x14ac:dyDescent="0.25"/>
    <row r="62" s="93" customFormat="1" x14ac:dyDescent="0.25"/>
    <row r="63" s="93" customFormat="1" x14ac:dyDescent="0.25"/>
    <row r="64" s="93" customFormat="1" x14ac:dyDescent="0.25"/>
    <row r="65" s="93" customFormat="1" x14ac:dyDescent="0.25"/>
    <row r="66" s="93" customFormat="1" x14ac:dyDescent="0.25"/>
    <row r="67" s="93" customFormat="1" x14ac:dyDescent="0.25"/>
    <row r="68" s="93" customFormat="1" x14ac:dyDescent="0.25"/>
    <row r="69" s="93" customFormat="1" x14ac:dyDescent="0.25"/>
    <row r="70" s="93" customFormat="1" x14ac:dyDescent="0.25"/>
    <row r="71" s="93" customFormat="1" x14ac:dyDescent="0.25"/>
    <row r="72" s="93" customFormat="1" x14ac:dyDescent="0.25"/>
    <row r="73" s="93" customFormat="1" x14ac:dyDescent="0.25"/>
    <row r="74" s="93" customFormat="1" x14ac:dyDescent="0.25"/>
    <row r="75" s="93" customFormat="1" x14ac:dyDescent="0.25"/>
  </sheetData>
  <sheetProtection algorithmName="SHA-512" hashValue="7BXNnwnTTCMqYYiKqjCheo666B0t040Ve0iEU/URgJS2pFLFArRPL9hlLuhCRO9xlYT/H8DrjW5+sYYrTCe1TA==" saltValue="XBiqRsjIw6LNh/s76es60Q==" spinCount="100000" sheet="1" objects="1" scenarios="1" selectLockedCells="1" selectUnlockedCells="1"/>
  <mergeCells count="65">
    <mergeCell ref="F28:H28"/>
    <mergeCell ref="I29:J29"/>
    <mergeCell ref="R29:S29"/>
    <mergeCell ref="I27:J27"/>
    <mergeCell ref="I28:J28"/>
    <mergeCell ref="R28:S28"/>
    <mergeCell ref="R27:W27"/>
    <mergeCell ref="I25:J25"/>
    <mergeCell ref="R25:T25"/>
    <mergeCell ref="I26:J26"/>
    <mergeCell ref="R26:T26"/>
    <mergeCell ref="B22:D22"/>
    <mergeCell ref="H22:I22"/>
    <mergeCell ref="J22:K22"/>
    <mergeCell ref="R22:S22"/>
    <mergeCell ref="C23:D23"/>
    <mergeCell ref="H23:I23"/>
    <mergeCell ref="J23:K23"/>
    <mergeCell ref="P23:Q23"/>
    <mergeCell ref="R23:S23"/>
    <mergeCell ref="P22:Q22"/>
    <mergeCell ref="R24:S24"/>
    <mergeCell ref="P24:Q24"/>
    <mergeCell ref="V5:W5"/>
    <mergeCell ref="V7:W7"/>
    <mergeCell ref="B19:D19"/>
    <mergeCell ref="B20:D20"/>
    <mergeCell ref="B21:D21"/>
    <mergeCell ref="U12:U13"/>
    <mergeCell ref="B13:C13"/>
    <mergeCell ref="B14:C14"/>
    <mergeCell ref="U15:U16"/>
    <mergeCell ref="B16:C18"/>
    <mergeCell ref="H16:I16"/>
    <mergeCell ref="J16:K16"/>
    <mergeCell ref="H17:I17"/>
    <mergeCell ref="B15:C15"/>
    <mergeCell ref="I15:K15"/>
    <mergeCell ref="Q15:T18"/>
    <mergeCell ref="J18:K18"/>
    <mergeCell ref="C10:I10"/>
    <mergeCell ref="L10:M10"/>
    <mergeCell ref="O10:T10"/>
    <mergeCell ref="C11:S11"/>
    <mergeCell ref="D12:H12"/>
    <mergeCell ref="M12:P12"/>
    <mergeCell ref="Q12:T14"/>
    <mergeCell ref="J17:K17"/>
    <mergeCell ref="H18:I18"/>
    <mergeCell ref="V13:W13"/>
    <mergeCell ref="V16:W16"/>
    <mergeCell ref="C9:I9"/>
    <mergeCell ref="O9:T9"/>
    <mergeCell ref="B2:E5"/>
    <mergeCell ref="G2:L2"/>
    <mergeCell ref="C8:I8"/>
    <mergeCell ref="L8:M8"/>
    <mergeCell ref="N5:U5"/>
    <mergeCell ref="N2:V4"/>
    <mergeCell ref="G3:L3"/>
    <mergeCell ref="G4:L4"/>
    <mergeCell ref="G5:L5"/>
    <mergeCell ref="C7:E7"/>
    <mergeCell ref="G7:K7"/>
    <mergeCell ref="N7:T7"/>
  </mergeCells>
  <conditionalFormatting sqref="A1:XFD4 A5:N5 X5:XFD17 A6:U16 A17:V17 A18:XFD18 A19:G19 L19:O19 Q19:XFD19 A20:XFD20 A21:O21 U21:XFD21 A22:XFD22 A23:K23 M23:XFD23 A24:P24 R24 T24:XFD24 A25:XFD25 A26:J27 N26:P27 R26:XFD29 A28:F28 I28:J28 O28:P28 A29:J29 N29:P29 A30:XFD1048576">
    <cfRule type="containsText" dxfId="10" priority="6" operator="containsText" text="MAINĪTS">
      <formula>NOT(ISERROR(SEARCH("MAINĪTS",A1)))</formula>
    </cfRule>
  </conditionalFormatting>
  <conditionalFormatting sqref="C11:C12 L13:L22">
    <cfRule type="expression" dxfId="9" priority="10">
      <formula>#REF!=0</formula>
    </cfRule>
  </conditionalFormatting>
  <conditionalFormatting sqref="I28:J28">
    <cfRule type="expression" dxfId="8" priority="8">
      <formula>$I$28="NEATBILST"</formula>
    </cfRule>
    <cfRule type="expression" dxfId="7" priority="9">
      <formula>$I$28="Atbilst"</formula>
    </cfRule>
  </conditionalFormatting>
  <conditionalFormatting sqref="K26:L29">
    <cfRule type="containsText" dxfId="6" priority="5" operator="containsText" text="MAINĪTS">
      <formula>NOT(ISERROR(SEARCH("MAINĪTS",K26)))</formula>
    </cfRule>
  </conditionalFormatting>
  <conditionalFormatting sqref="L14:L22 D16:D18 M16:M18">
    <cfRule type="expression" dxfId="5" priority="11">
      <formula>#REF!=1</formula>
    </cfRule>
  </conditionalFormatting>
  <conditionalFormatting sqref="Q26">
    <cfRule type="containsText" dxfId="4" priority="4" operator="containsText" text="MAINĪTS">
      <formula>NOT(ISERROR(SEARCH("MAINĪTS",Q26)))</formula>
    </cfRule>
  </conditionalFormatting>
  <conditionalFormatting sqref="Q28:Q29">
    <cfRule type="containsText" dxfId="3" priority="3" operator="containsText" text="MAINĪTS">
      <formula>NOT(ISERROR(SEARCH("MAINĪTS",Q28)))</formula>
    </cfRule>
  </conditionalFormatting>
  <conditionalFormatting sqref="U15">
    <cfRule type="expression" dxfId="2" priority="12">
      <formula>$U$15&lt;80</formula>
    </cfRule>
  </conditionalFormatting>
  <conditionalFormatting sqref="V5 V13 V16">
    <cfRule type="containsText" dxfId="1" priority="2" operator="containsText" text="MAINĪTS">
      <formula>NOT(ISERROR(SEARCH("MAINĪTS",V5)))</formula>
    </cfRule>
  </conditionalFormatting>
  <conditionalFormatting sqref="V7">
    <cfRule type="containsText" dxfId="0" priority="1" operator="containsText" text="MAINĪTS">
      <formula>NOT(ISERROR(SEARCH("MAINĪTS",V7)))</formula>
    </cfRule>
  </conditionalFormatting>
  <dataValidations disablePrompts="1" count="2">
    <dataValidation type="decimal" allowBlank="1" showErrorMessage="1" errorTitle="KĻŪDA" error="Tikai skaitļi no 0 līdz 1" sqref="L14:L22" xr:uid="{DC73CDCA-3761-49FE-8572-6E6A26CFD6AF}">
      <formula1>0.1</formula1>
      <formula2>1</formula2>
    </dataValidation>
    <dataValidation allowBlank="1" showErrorMessage="1" errorTitle="KĻŪDA" error="Tikai veseli skaitļi robežās no 0 līdz 10000000" sqref="C11:C12 L13" xr:uid="{D3BE1FF8-2756-47F9-9CDF-E661B3E83A1C}"/>
  </dataValidations>
  <printOptions horizontalCentered="1"/>
  <pageMargins left="0.11811023622047245" right="0.11811023622047245" top="0.55118110236220474" bottom="0.55118110236220474" header="0.31496062992125984" footer="0.31496062992125984"/>
  <pageSetup paperSize="9" scale="53" orientation="portrait" horizontalDpi="1200" verticalDpi="1200" r:id="rId1"/>
  <headerFoot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a47be-c97c-4e51-b319-47976872be82" xsi:nil="true"/>
    <lcf76f155ced4ddcb4097134ff3c332f xmlns="a84ad92e-a5c9-407a-af9a-37596a145915">
      <Terms xmlns="http://schemas.microsoft.com/office/infopath/2007/PartnerControls"/>
    </lcf76f155ced4ddcb4097134ff3c332f>
    <SharedWithUsers xmlns="9b4a47be-c97c-4e51-b319-47976872be82">
      <UserInfo>
        <DisplayName>Mikus Spalviņš</DisplayName>
        <AccountId>24</AccountId>
        <AccountType/>
      </UserInfo>
      <UserInfo>
        <DisplayName>Madara Austriņa</DisplayName>
        <AccountId>9</AccountId>
        <AccountType/>
      </UserInfo>
      <UserInfo>
        <DisplayName>Zane Egle</DisplayName>
        <AccountId>66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0A9FF30EE10C44A6751BC2D36CC040" ma:contentTypeVersion="15" ma:contentTypeDescription="Create a new document." ma:contentTypeScope="" ma:versionID="8aefc52c2f93f588d253b3860be8e6a0">
  <xsd:schema xmlns:xsd="http://www.w3.org/2001/XMLSchema" xmlns:xs="http://www.w3.org/2001/XMLSchema" xmlns:p="http://schemas.microsoft.com/office/2006/metadata/properties" xmlns:ns2="a84ad92e-a5c9-407a-af9a-37596a145915" xmlns:ns3="9b4a47be-c97c-4e51-b319-47976872be82" targetNamespace="http://schemas.microsoft.com/office/2006/metadata/properties" ma:root="true" ma:fieldsID="74245cae723d73e6c7defd1d2d95971b" ns2:_="" ns3:_="">
    <xsd:import namespace="a84ad92e-a5c9-407a-af9a-37596a145915"/>
    <xsd:import namespace="9b4a47be-c97c-4e51-b319-47976872be8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ad92e-a5c9-407a-af9a-37596a1459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a47be-c97c-4e51-b319-47976872be8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757f9cc-656e-40ca-89bc-c6124d6caa1d}" ma:internalName="TaxCatchAll" ma:showField="CatchAllData" ma:web="9b4a47be-c97c-4e51-b319-47976872be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F5AC93-022D-4981-AAEC-AADC094B2FB2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9b4a47be-c97c-4e51-b319-47976872be8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84ad92e-a5c9-407a-af9a-37596a145915"/>
  </ds:schemaRefs>
</ds:datastoreItem>
</file>

<file path=customXml/itemProps2.xml><?xml version="1.0" encoding="utf-8"?>
<ds:datastoreItem xmlns:ds="http://schemas.openxmlformats.org/officeDocument/2006/customXml" ds:itemID="{0A66B035-345A-47B4-9FD4-DBB7049B59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4ad92e-a5c9-407a-af9a-37596a145915"/>
    <ds:schemaRef ds:uri="9b4a47be-c97c-4e51-b319-47976872be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28FDE8-F13A-472D-93AC-0728F42E46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4</vt:i4>
      </vt:variant>
    </vt:vector>
  </HeadingPairs>
  <TitlesOfParts>
    <vt:vector size="8" baseType="lpstr">
      <vt:lpstr>Projekta dati</vt:lpstr>
      <vt:lpstr>MKN_23.p</vt:lpstr>
      <vt:lpstr>Dati</vt:lpstr>
      <vt:lpstr>Projekta datu parbaude</vt:lpstr>
      <vt:lpstr>Dati!_ftn1</vt:lpstr>
      <vt:lpstr>Dati!_ftnref1</vt:lpstr>
      <vt:lpstr>'Projekta dati'!Drukas_apgabals</vt:lpstr>
      <vt:lpstr>'Projekta datu parbaude'!Drukas_apgabals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Modris</dc:creator>
  <cp:keywords/>
  <dc:description/>
  <cp:lastModifiedBy>Mikus Spalviņš</cp:lastModifiedBy>
  <cp:revision/>
  <dcterms:created xsi:type="dcterms:W3CDTF">2021-08-31T15:22:26Z</dcterms:created>
  <dcterms:modified xsi:type="dcterms:W3CDTF">2024-03-05T14:54:29Z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0x010100F80A9FF30EE10C44A6751BC2D36CC040</vt:lpwstr>
  </property>
  <property fmtid="{D5CDD505-2E9C-101B-9397-08002B2CF9AE}" pid="3" name="MediaServiceImageTags">
    <vt:lpwstr/>
  </property>
</Properties>
</file>