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f-spalv\Downloads\"/>
    </mc:Choice>
  </mc:AlternateContent>
  <xr:revisionPtr revIDLastSave="0" documentId="13_ncr:1_{8D2E4477-5AFC-4A54-814F-092283AD2F20}" xr6:coauthVersionLast="47" xr6:coauthVersionMax="47" xr10:uidLastSave="{00000000-0000-0000-0000-000000000000}"/>
  <bookViews>
    <workbookView xWindow="-120" yWindow="-120" windowWidth="29040" windowHeight="15840" tabRatio="478" xr2:uid="{00000000-000D-0000-FFFF-FFFF00000000}"/>
  </bookViews>
  <sheets>
    <sheet name="Projekta dati" sheetId="5" r:id="rId1"/>
    <sheet name="Projekta dati (2)" sheetId="21" state="hidden" r:id="rId2"/>
    <sheet name="Dati" sheetId="20" state="hidden" r:id="rId3"/>
  </sheets>
  <definedNames>
    <definedName name="_ftn1" localSheetId="2">Dati!$O$26</definedName>
    <definedName name="_ftnref1" localSheetId="2">Dati!$O$6</definedName>
    <definedName name="Output_Heizwaerme_Jahresverfahren">#REF!</definedName>
    <definedName name="_xlnm.Print_Area" localSheetId="0">'Projekta dati'!$B$2:$U$29</definedName>
    <definedName name="_xlnm.Print_Area" localSheetId="1">'Projekta dati (2)'!$B$2:$V$29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1" i="5" l="1"/>
  <c r="E20" i="5"/>
  <c r="U9" i="21"/>
  <c r="U10" i="21" l="1"/>
  <c r="M20" i="5"/>
  <c r="Q28" i="5"/>
  <c r="V28" i="21" s="1" a="1"/>
  <c r="V28" i="21" s="1"/>
  <c r="E16" i="21"/>
  <c r="E17" i="21"/>
  <c r="E18" i="21"/>
  <c r="N16" i="21"/>
  <c r="N17" i="21"/>
  <c r="N18" i="21"/>
  <c r="O23" i="5" l="1"/>
  <c r="P21" i="21" s="1" a="1"/>
  <c r="P21" i="21" s="1"/>
  <c r="M21" i="5"/>
  <c r="M19" i="5"/>
  <c r="G23" i="5"/>
  <c r="H20" i="21" s="1" a="1"/>
  <c r="H20" i="21" s="1"/>
  <c r="E19" i="5"/>
  <c r="B30" i="21" a="1"/>
  <c r="B30" i="21" s="1"/>
  <c r="R27" i="21" a="1"/>
  <c r="R27" i="21" s="1"/>
  <c r="R28" i="21" s="1"/>
  <c r="Q28" i="21" s="1"/>
  <c r="M15" i="21" a="1"/>
  <c r="M15" i="21" s="1"/>
  <c r="M14" i="21" a="1"/>
  <c r="M14" i="21" s="1"/>
  <c r="N21" i="21" s="1"/>
  <c r="M21" i="21" s="1"/>
  <c r="M13" i="21" a="1"/>
  <c r="M13" i="21" s="1"/>
  <c r="N20" i="21" s="1"/>
  <c r="D15" i="21" a="1"/>
  <c r="D15" i="21" s="1"/>
  <c r="D14" i="21" a="1"/>
  <c r="D14" i="21" s="1"/>
  <c r="H23" i="21" s="1"/>
  <c r="D13" i="21" a="1"/>
  <c r="D13" i="21" s="1"/>
  <c r="E20" i="21" s="1"/>
  <c r="F20" i="21" s="1"/>
  <c r="J10" i="21"/>
  <c r="L10" i="21" s="1"/>
  <c r="J9" i="21"/>
  <c r="J8" i="21"/>
  <c r="L8" i="21" s="1"/>
  <c r="G7" i="21" a="1"/>
  <c r="G7" i="21" s="1"/>
  <c r="N20" i="5"/>
  <c r="F20" i="5"/>
  <c r="P23" i="21" l="1"/>
  <c r="H21" i="21"/>
  <c r="N19" i="21"/>
  <c r="P24" i="21"/>
  <c r="M20" i="21"/>
  <c r="E21" i="21"/>
  <c r="E19" i="21"/>
  <c r="F21" i="21"/>
  <c r="O17" i="21"/>
  <c r="O16" i="21"/>
  <c r="O20" i="21"/>
  <c r="O19" i="21"/>
  <c r="O18" i="21"/>
  <c r="G16" i="21"/>
  <c r="G19" i="21"/>
  <c r="G17" i="21"/>
  <c r="G20" i="21"/>
  <c r="G18" i="21"/>
  <c r="K8" i="5"/>
  <c r="K10" i="5"/>
  <c r="L2" i="20"/>
  <c r="N22" i="21" l="1"/>
  <c r="M22" i="5"/>
  <c r="M23" i="5" s="1"/>
  <c r="M19" i="21"/>
  <c r="F19" i="21"/>
  <c r="L3" i="20"/>
  <c r="H12" i="20"/>
  <c r="G10" i="20"/>
  <c r="G14" i="20"/>
  <c r="H14" i="20" s="1"/>
  <c r="H5" i="20"/>
  <c r="J5" i="20" s="1"/>
  <c r="K5" i="20" s="1"/>
  <c r="N19" i="5"/>
  <c r="N18" i="5"/>
  <c r="N17" i="5"/>
  <c r="N16" i="5"/>
  <c r="K3" i="20"/>
  <c r="K2" i="20"/>
  <c r="J2" i="20"/>
  <c r="F19" i="5"/>
  <c r="F18" i="5"/>
  <c r="F17" i="5"/>
  <c r="F16" i="5"/>
  <c r="M22" i="21" l="1"/>
  <c r="N23" i="21"/>
  <c r="N24" i="21" s="1"/>
  <c r="E22" i="21"/>
  <c r="E22" i="5"/>
  <c r="E23" i="5" s="1"/>
  <c r="L23" i="5" s="1"/>
  <c r="Q23" i="5" s="1"/>
  <c r="R21" i="21" s="1" a="1"/>
  <c r="R21" i="21" s="1"/>
  <c r="H15" i="20"/>
  <c r="H16" i="20" s="1"/>
  <c r="I23" i="5" l="1"/>
  <c r="J20" i="21" s="1" a="1"/>
  <c r="J20" i="21" s="1"/>
  <c r="H26" i="5"/>
  <c r="T12" i="5" s="1"/>
  <c r="F22" i="21"/>
  <c r="E23" i="21"/>
  <c r="B26" i="21" l="1" a="1"/>
  <c r="B26" i="21" s="1"/>
  <c r="Q26" i="5"/>
  <c r="Q29" i="5" s="1"/>
  <c r="V29" i="21" s="1" a="1"/>
  <c r="V29" i="21" s="1"/>
  <c r="F23" i="21"/>
  <c r="J23" i="21"/>
  <c r="J21" i="21" s="1"/>
  <c r="M23" i="21"/>
  <c r="H27" i="5"/>
  <c r="H28" i="5" s="1"/>
  <c r="H29" i="5"/>
  <c r="B29" i="21" s="1" a="1"/>
  <c r="B29" i="21" s="1"/>
  <c r="B27" i="21" l="1" a="1"/>
  <c r="B27" i="21" s="1"/>
  <c r="H35" i="5"/>
  <c r="M24" i="21"/>
  <c r="R23" i="21"/>
  <c r="R24" i="21" s="1"/>
  <c r="I26" i="21"/>
  <c r="U12" i="21" s="1"/>
  <c r="G11" i="20"/>
  <c r="G17" i="20" s="1"/>
  <c r="U7" i="21" s="1"/>
  <c r="X13" i="21" a="1"/>
  <c r="X13" i="21" s="1"/>
  <c r="U25" i="21" a="1"/>
  <c r="U25" i="21" s="1"/>
  <c r="U15" i="21" l="1"/>
  <c r="V13" i="21"/>
  <c r="K26" i="21"/>
  <c r="R26" i="21"/>
  <c r="R29" i="21" s="1"/>
  <c r="Q29" i="21" s="1"/>
  <c r="I27" i="21"/>
  <c r="I29" i="21"/>
  <c r="T7" i="5"/>
  <c r="V7" i="21" s="1"/>
  <c r="T15" i="5"/>
  <c r="X16" i="21" s="1" a="1"/>
  <c r="X16" i="21" s="1"/>
  <c r="B28" i="21" a="1"/>
  <c r="B28" i="21" s="1"/>
  <c r="K27" i="21" l="1"/>
  <c r="I35" i="21"/>
  <c r="K29" i="21"/>
  <c r="N5" i="21"/>
  <c r="V16" i="21"/>
  <c r="Q26" i="21"/>
  <c r="I28" i="21"/>
  <c r="K28" i="21" s="1"/>
  <c r="M5" i="5"/>
  <c r="X5" i="21" s="1" a="1"/>
  <c r="X5" i="21" s="1"/>
  <c r="V5" i="2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<sst xmlns="http://schemas.openxmlformats.org/spreadsheetml/2006/main" count="202" uniqueCount="91">
  <si>
    <t>Projekta dati</t>
  </si>
  <si>
    <t>izvēlnes šūnas, kuras jāaizpilda obligāti</t>
  </si>
  <si>
    <r>
      <t xml:space="preserve">Daļiņu PM2,5 emisijas samazinājums (daļiņu PM2,5 emisiju samazinājums, īstenojot projektu (t/gadā)).
</t>
    </r>
    <r>
      <rPr>
        <b/>
        <sz val="11"/>
        <color rgb="FFFF0000"/>
        <rFont val="Times New Roman"/>
        <family val="1"/>
        <charset val="186"/>
      </rPr>
      <t>NB!</t>
    </r>
    <r>
      <rPr>
        <b/>
        <sz val="11"/>
        <color theme="1"/>
        <rFont val="Times New Roman"/>
        <family val="1"/>
        <charset val="186"/>
      </rPr>
      <t xml:space="preserve"> Rezultātu norāda projekta iesniegumā!</t>
    </r>
    <r>
      <rPr>
        <sz val="11"/>
        <color theme="1"/>
        <rFont val="Times New Roman"/>
        <family val="1"/>
        <charset val="186"/>
      </rPr>
      <t xml:space="preserve">
</t>
    </r>
    <r>
      <rPr>
        <b/>
        <sz val="12"/>
        <color theme="1"/>
        <rFont val="Times New Roman"/>
        <family val="1"/>
        <charset val="186"/>
      </rPr>
      <t>↓</t>
    </r>
  </si>
  <si>
    <t>šūnas, kuras jāaizpilda obligāti</t>
  </si>
  <si>
    <t>izvēlnes šūnas, kuras jāaizpilda ja nepieciešams</t>
  </si>
  <si>
    <t>šūnas, kuras jāaizpilda, ja nepieciešams</t>
  </si>
  <si>
    <t>Projekta ēkas vai dzīvokļa adrese ►►►</t>
  </si>
  <si>
    <t>Plānotās iekārtas max jauda (indikatīvi)►</t>
  </si>
  <si>
    <t>kW</t>
  </si>
  <si>
    <t>Projekta ēkas (dzīvojamās ēkas) vai dzīvokļa apkurināmā platība ►►►</t>
  </si>
  <si>
    <r>
      <t>m</t>
    </r>
    <r>
      <rPr>
        <vertAlign val="superscript"/>
        <sz val="11"/>
        <color theme="1"/>
        <rFont val="Times New Roman"/>
        <family val="1"/>
        <charset val="186"/>
      </rPr>
      <t>2</t>
    </r>
  </si>
  <si>
    <t>Vidējā iekštelpu temperatūra apkures periodā ►►►</t>
  </si>
  <si>
    <t>*C</t>
  </si>
  <si>
    <t>Plānoto saules paneļu jauda (min 1.0 - max 11.1) (ja attiecināms) ►►►</t>
  </si>
  <si>
    <t>Esošās iekārtas nominālā jauda (ja zināms) ►►►</t>
  </si>
  <si>
    <t>Pēdējā kalendārā gada elektrības patēriņš (attiecināms, ja plāno saules paneļus)►►►</t>
  </si>
  <si>
    <t>kWh/gadā</t>
  </si>
  <si>
    <t>Kurināmais, 1. veids (obligāti)</t>
  </si>
  <si>
    <r>
      <t xml:space="preserve">Kurināmais, 2. veids </t>
    </r>
    <r>
      <rPr>
        <sz val="11"/>
        <color rgb="FFFF0000"/>
        <rFont val="Times New Roman"/>
        <family val="1"/>
        <charset val="186"/>
      </rPr>
      <t>(attiecināms, ja ietekme &gt;30%)</t>
    </r>
  </si>
  <si>
    <r>
      <rPr>
        <sz val="9"/>
        <color rgb="FF000000"/>
        <rFont val="Times New Roman"/>
      </rPr>
      <t xml:space="preserve">Jauna siltumsūkņa elektrības patēriņa pieņēmums 
pie minimālās efektivitātes koeficienta 3.0 ►►►
</t>
    </r>
    <r>
      <rPr>
        <sz val="8"/>
        <color rgb="FF000000"/>
        <rFont val="Times New Roman"/>
      </rPr>
      <t xml:space="preserve">(sezonālais efektivitātes koeficients)
</t>
    </r>
    <r>
      <rPr>
        <sz val="8"/>
        <color rgb="FFFF0000"/>
        <rFont val="Times New Roman"/>
      </rPr>
      <t xml:space="preserve">NB! </t>
    </r>
    <r>
      <rPr>
        <sz val="8"/>
        <color rgb="FF000000"/>
        <rFont val="Times New Roman"/>
      </rPr>
      <t>šūnu aizpilda manuāli, ja izmantotie dati ir dokumentāli pamatoti)</t>
    </r>
  </si>
  <si>
    <t>Izvēlnē norāda kurināmo►</t>
  </si>
  <si>
    <t>Malka (20% mitrums)</t>
  </si>
  <si>
    <t>Ogles</t>
  </si>
  <si>
    <t>Izvēlnē norāda iekārtas veidu►</t>
  </si>
  <si>
    <t>Koksnes biomasas krāsns (augstas efektivitātes parastā, izstarojošā, piemēram, slēgtā kamīnkrāsns)</t>
  </si>
  <si>
    <t>Ogles izmantojošās apkures iekārtas</t>
  </si>
  <si>
    <t>Izvēlnē norāda kurināmā izskaitīto mērvienību►</t>
  </si>
  <si>
    <t>ber.m3</t>
  </si>
  <si>
    <r>
      <rPr>
        <b/>
        <sz val="9"/>
        <color rgb="FF000000"/>
        <rFont val="Times New Roman"/>
      </rPr>
      <t xml:space="preserve">Pašpatēriņa īpatsvars </t>
    </r>
    <r>
      <rPr>
        <sz val="9"/>
        <color rgb="FF000000"/>
        <rFont val="Times New Roman"/>
      </rPr>
      <t xml:space="preserve">(jābūt virs 80%)
</t>
    </r>
    <r>
      <rPr>
        <sz val="8"/>
        <color rgb="FFFF0000"/>
        <rFont val="Times New Roman"/>
      </rPr>
      <t>NB! Aptuvens aprēķins, iesniedzējs ir atbildīgs par MK noteikumu 44.punkta nosacījumu ievērošanu! 
Aicinām konsultēties ar nozares speciālistiem.</t>
    </r>
  </si>
  <si>
    <t>Norāda kurināmā patēriņu uzskaitītajās mērvienībās ►</t>
  </si>
  <si>
    <t>%</t>
  </si>
  <si>
    <t>Vidējais naturālā kurināmā patēriņš gadā►</t>
  </si>
  <si>
    <r>
      <t xml:space="preserve">Kurināmā zemākais sadegšanas siltums►
</t>
    </r>
    <r>
      <rPr>
        <sz val="8"/>
        <color rgb="FFFF3300"/>
        <rFont val="Times New Roman"/>
        <family val="1"/>
        <charset val="186"/>
      </rPr>
      <t>NB!</t>
    </r>
    <r>
      <rPr>
        <sz val="8"/>
        <rFont val="Times New Roman"/>
        <family val="1"/>
        <charset val="186"/>
      </rPr>
      <t xml:space="preserve"> šūnu aizpilda manuāli, ja izmantotie dati ir dokumentāli pamatoti</t>
    </r>
  </si>
  <si>
    <r>
      <t xml:space="preserve">Iekārtas lietderības koeficients►
</t>
    </r>
    <r>
      <rPr>
        <sz val="8"/>
        <color rgb="FFFF3300"/>
        <rFont val="Times New Roman"/>
        <family val="1"/>
        <charset val="186"/>
      </rPr>
      <t>NB!</t>
    </r>
    <r>
      <rPr>
        <sz val="8"/>
        <rFont val="Times New Roman"/>
        <family val="1"/>
        <charset val="186"/>
      </rPr>
      <t xml:space="preserve"> šūnu aizpilda manuāli, ja lietderības koeficients ir dokumentāli pamatojams</t>
    </r>
  </si>
  <si>
    <t>Mērvienības konversija►</t>
  </si>
  <si>
    <t>emisijas faktors (g/MWh)</t>
  </si>
  <si>
    <t>PM2,5 daļiņas (t/gadā)</t>
  </si>
  <si>
    <t>Apkures patēriņš►</t>
  </si>
  <si>
    <t>MWh gadā</t>
  </si>
  <si>
    <t>Esošā situācija</t>
  </si>
  <si>
    <t>Plānotā situācija</t>
  </si>
  <si>
    <t>Projekta īstenošanas dzīvojamās mājas vai dzīvokļa apkures patēriņš►</t>
  </si>
  <si>
    <r>
      <rPr>
        <sz val="10"/>
        <color rgb="FF000000"/>
        <rFont val="Times New Roman"/>
      </rPr>
      <t xml:space="preserve">Projekta īstenošanas dzīvojamās mājas  vai dzīvokļa apkures patēriņš ►
</t>
    </r>
    <r>
      <rPr>
        <sz val="10"/>
        <color rgb="FFFF3300"/>
        <rFont val="Times New Roman"/>
      </rPr>
      <t>NB!</t>
    </r>
    <r>
      <rPr>
        <sz val="10"/>
        <color rgb="FF000000"/>
        <rFont val="Times New Roman"/>
      </rPr>
      <t xml:space="preserve"> Gadījumā, ja  nav pielīdzināms esošajai situācijai, tad  pamatotu aprēķinu veic sertificēts energoauditors. Sertificētā energoauditora aprēķinu pievieno projekta iesniegumam</t>
    </r>
  </si>
  <si>
    <t>skatīt piezīmi, ja plānotā situācija atšķiras no esošās</t>
  </si>
  <si>
    <t>Projekta īstenošanas dzīvojamās mājas vai dzīvokļa īpatnējais apkures patēriņš►</t>
  </si>
  <si>
    <r>
      <t>kWh/m</t>
    </r>
    <r>
      <rPr>
        <vertAlign val="superscript"/>
        <sz val="11"/>
        <color theme="1"/>
        <rFont val="Times New Roman"/>
        <family val="1"/>
        <charset val="186"/>
      </rPr>
      <t>2</t>
    </r>
    <r>
      <rPr>
        <sz val="11"/>
        <color theme="1"/>
        <rFont val="Times New Roman"/>
        <family val="1"/>
        <charset val="186"/>
      </rPr>
      <t xml:space="preserve"> gadā</t>
    </r>
  </si>
  <si>
    <r>
      <rPr>
        <sz val="10"/>
        <color rgb="FFFF0000"/>
        <rFont val="Times New Roman"/>
        <family val="1"/>
        <charset val="186"/>
      </rPr>
      <t>NB!</t>
    </r>
    <r>
      <rPr>
        <sz val="10"/>
        <color theme="1"/>
        <rFont val="Times New Roman"/>
        <family val="1"/>
        <charset val="186"/>
      </rPr>
      <t xml:space="preserve"> Šūnā izvēlas MK noteikumu 42.1, 42.2., 42.3., 42.4. apakšpunktā minēto iekārtu ►</t>
    </r>
  </si>
  <si>
    <t>42.2. siltumsūkņa (zeme–ūdens, ūdens–ūdens vai gaiss–ūdens) iegāde</t>
  </si>
  <si>
    <r>
      <t xml:space="preserve">Dzīvojamā māja atbilst apkures patēriņa E klasei vai efektīvākai klasei ►
</t>
    </r>
    <r>
      <rPr>
        <sz val="10"/>
        <color rgb="FFFF3300"/>
        <rFont val="Times New Roman"/>
        <family val="1"/>
        <charset val="186"/>
      </rPr>
      <t>NB!</t>
    </r>
    <r>
      <rPr>
        <sz val="10"/>
        <rFont val="Times New Roman"/>
        <family val="1"/>
        <charset val="186"/>
      </rPr>
      <t xml:space="preserve"> Informācija šūnā ir attiecināma tikai, ja dati ir par visu dzīvojamo māju</t>
    </r>
  </si>
  <si>
    <t>emisijas faktors ►</t>
  </si>
  <si>
    <t>g/MWh</t>
  </si>
  <si>
    <t>Daļiņu PM2,5 emisijas pirms projekta īstenošanas ►</t>
  </si>
  <si>
    <t>t/gadā</t>
  </si>
  <si>
    <t>Daļiņu PM2,5 emisijas pēc projekta īstenošanas ►</t>
  </si>
  <si>
    <t>KK 4.3.punkti</t>
  </si>
  <si>
    <t>cieš.m3</t>
  </si>
  <si>
    <t>Saskaņot ar Word 4.piezīmi</t>
  </si>
  <si>
    <r>
      <t>PM</t>
    </r>
    <r>
      <rPr>
        <vertAlign val="subscript"/>
        <sz val="11"/>
        <color theme="1"/>
        <rFont val="Times New Roman"/>
        <family val="1"/>
        <charset val="186"/>
      </rPr>
      <t>2,5</t>
    </r>
  </si>
  <si>
    <t>Lietderības koef</t>
  </si>
  <si>
    <t>malka</t>
  </si>
  <si>
    <t>Koksnes biomasas kamīns (atvērtais)</t>
  </si>
  <si>
    <t>Koksnes biomasas krāsns (parastā, izstarojošā, piemēram, virtuves plīts)</t>
  </si>
  <si>
    <t>m2</t>
  </si>
  <si>
    <t>Koksnes biomasas krāsns (mūra, akumulējošā, piemēram, podiņkrāsns)</t>
  </si>
  <si>
    <t>42.1. tāda koksnes biomasas apkures katla iegāde, kas piemērots granulu kurināmajam</t>
  </si>
  <si>
    <t>Koksnes biomasas apkures katls (malka, koksnes atkritumi, briketes)</t>
  </si>
  <si>
    <t>Koksnes biomasas apkures katls (granulas)</t>
  </si>
  <si>
    <t>42.3. pieslēguma centralizētai siltumapgādes sistēmai projektēšana un izveidošana</t>
  </si>
  <si>
    <t>42.4. siltumsūkņa (gaiss–gaiss) iegāde un uzstādīšana</t>
  </si>
  <si>
    <t>Kūdras kurināmā apkures iekārtas</t>
  </si>
  <si>
    <t>Ja iekārta nav vizuāli idenficējama vai nav augstāk minēta</t>
  </si>
  <si>
    <t>Kurināmais</t>
  </si>
  <si>
    <t>zemākā siltumspēja</t>
  </si>
  <si>
    <t>Malka (10% mitrums)</t>
  </si>
  <si>
    <t>MWh/cieš. m3</t>
  </si>
  <si>
    <t>MWh/cieš.  m3</t>
  </si>
  <si>
    <t>Malka (30% mitrums)</t>
  </si>
  <si>
    <t>t</t>
  </si>
  <si>
    <t>Malka (40% mitrums)</t>
  </si>
  <si>
    <t>Malka (51% mitrums)</t>
  </si>
  <si>
    <t>Malka (55% mitrums)</t>
  </si>
  <si>
    <t>Koksnes atlikumi</t>
  </si>
  <si>
    <t>MWh/ber.m3</t>
  </si>
  <si>
    <t>Kurināmā šķelda</t>
  </si>
  <si>
    <t>Koksnes briketes</t>
  </si>
  <si>
    <t>MWh/t</t>
  </si>
  <si>
    <t>Koksnes granulas</t>
  </si>
  <si>
    <t xml:space="preserve">Kūdra </t>
  </si>
  <si>
    <t>Kūdras briketes</t>
  </si>
  <si>
    <t>MWh/cieš.m3</t>
  </si>
  <si>
    <r>
      <rPr>
        <sz val="10"/>
        <color rgb="FFFF0000"/>
        <rFont val="Times New Roman"/>
        <family val="1"/>
        <charset val="186"/>
      </rPr>
      <t>NB!</t>
    </r>
    <r>
      <rPr>
        <sz val="10"/>
        <color theme="1"/>
        <rFont val="Times New Roman"/>
        <family val="1"/>
        <charset val="186"/>
      </rPr>
      <t xml:space="preserve"> Šūnā izvēlas MK noteikumu 42. apakšpunktā minēto iekārtu 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</si>
</sst>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4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sz val="8"/>
      <name val="Calibri"/>
      <family val="2"/>
      <charset val="186"/>
      <scheme val="minor"/>
    </font>
    <font>
      <sz val="8"/>
      <color theme="1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  <font>
      <vertAlign val="subscript"/>
      <sz val="11"/>
      <color theme="1"/>
      <name val="Times New Roman"/>
      <family val="1"/>
      <charset val="186"/>
    </font>
    <font>
      <b/>
      <sz val="18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11"/>
      <color theme="0" tint="-0.34998626667073579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8"/>
      <name val="Times New Roman"/>
      <family val="1"/>
      <charset val="186"/>
    </font>
    <font>
      <b/>
      <sz val="14"/>
      <color theme="0"/>
      <name val="Times New Roman"/>
      <family val="1"/>
      <charset val="186"/>
    </font>
    <font>
      <b/>
      <sz val="26"/>
      <color rgb="FF000000"/>
      <name val="Times New Roman"/>
      <family val="1"/>
      <charset val="186"/>
    </font>
    <font>
      <sz val="8"/>
      <color rgb="FFFF3300"/>
      <name val="Times New Roman"/>
      <family val="1"/>
      <charset val="186"/>
    </font>
    <font>
      <sz val="10"/>
      <color rgb="FFFF3300"/>
      <name val="Times New Roman"/>
      <family val="1"/>
      <charset val="186"/>
    </font>
    <font>
      <sz val="10"/>
      <color rgb="FF000000"/>
      <name val="Times New Roman"/>
    </font>
    <font>
      <sz val="10"/>
      <color rgb="FFFF3300"/>
      <name val="Times New Roman"/>
    </font>
    <font>
      <sz val="10"/>
      <name val="Times New Roman"/>
    </font>
    <font>
      <sz val="9"/>
      <color theme="1"/>
      <name val="Times New Roman"/>
      <family val="1"/>
      <charset val="186"/>
    </font>
    <font>
      <sz val="9"/>
      <color rgb="FF000000"/>
      <name val="Times New Roman"/>
    </font>
    <font>
      <sz val="8"/>
      <color theme="1"/>
      <name val="Times New Roman"/>
    </font>
    <font>
      <sz val="8"/>
      <color rgb="FF000000"/>
      <name val="Times New Roman"/>
    </font>
    <font>
      <sz val="8"/>
      <color rgb="FFFF0000"/>
      <name val="Times New Roman"/>
    </font>
    <font>
      <b/>
      <sz val="8"/>
      <color theme="1"/>
      <name val="Times New Roman"/>
      <family val="1"/>
      <charset val="186"/>
    </font>
    <font>
      <b/>
      <sz val="8"/>
      <color theme="1"/>
      <name val="Times New Roman"/>
    </font>
    <font>
      <b/>
      <sz val="9"/>
      <color rgb="FF000000"/>
      <name val="Times New Roman"/>
    </font>
    <font>
      <sz val="11"/>
      <color theme="0"/>
      <name val="Calibri"/>
      <family val="2"/>
      <charset val="186"/>
      <scheme val="minor"/>
    </font>
    <font>
      <b/>
      <sz val="8"/>
      <color rgb="FF000000"/>
      <name val="Times New Roman"/>
      <family val="1"/>
      <charset val="186"/>
    </font>
    <font>
      <sz val="10"/>
      <color theme="0"/>
      <name val="Times New Roman"/>
      <family val="1"/>
      <charset val="186"/>
    </font>
    <font>
      <sz val="11"/>
      <color theme="0"/>
      <name val="Times New Roman"/>
      <family val="1"/>
      <charset val="186"/>
    </font>
    <font>
      <sz val="12"/>
      <color theme="0"/>
      <name val="Times New Roman"/>
      <family val="1"/>
      <charset val="186"/>
    </font>
  </fonts>
  <fills count="15">
    <fill>
      <patternFill patternType="none"/>
    </fill>
    <fill>
      <patternFill patternType="gray125"/>
    </fill>
    <fill>
      <patternFill patternType="solid">
        <fgColor rgb="FFE1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66FF99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2" fillId="0" borderId="0"/>
    <xf numFmtId="0" fontId="4" fillId="0" borderId="0"/>
  </cellStyleXfs>
  <cellXfs count="196">
    <xf numFmtId="0" fontId="0" fillId="0" borderId="0" xfId="0"/>
    <xf numFmtId="0" fontId="7" fillId="0" borderId="0" xfId="0" applyFont="1"/>
    <xf numFmtId="0" fontId="6" fillId="3" borderId="0" xfId="0" applyFont="1" applyFill="1"/>
    <xf numFmtId="0" fontId="5" fillId="3" borderId="0" xfId="0" applyFont="1" applyFill="1"/>
    <xf numFmtId="0" fontId="11" fillId="3" borderId="0" xfId="0" applyFont="1" applyFill="1" applyAlignment="1">
      <alignment horizontal="center" vertical="center"/>
    </xf>
    <xf numFmtId="0" fontId="7" fillId="3" borderId="0" xfId="0" applyFont="1" applyFill="1"/>
    <xf numFmtId="0" fontId="13" fillId="0" borderId="0" xfId="0" applyFont="1"/>
    <xf numFmtId="165" fontId="12" fillId="0" borderId="0" xfId="0" applyNumberFormat="1" applyFont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wrapText="1"/>
    </xf>
    <xf numFmtId="0" fontId="7" fillId="0" borderId="4" xfId="0" applyFont="1" applyBorder="1"/>
    <xf numFmtId="0" fontId="16" fillId="3" borderId="0" xfId="0" applyFont="1" applyFill="1"/>
    <xf numFmtId="0" fontId="10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7" fillId="5" borderId="4" xfId="0" applyFont="1" applyFill="1" applyBorder="1" applyAlignment="1">
      <alignment wrapText="1"/>
    </xf>
    <xf numFmtId="0" fontId="7" fillId="5" borderId="4" xfId="0" applyFont="1" applyFill="1" applyBorder="1"/>
    <xf numFmtId="0" fontId="13" fillId="0" borderId="4" xfId="0" applyFont="1" applyBorder="1" applyAlignment="1">
      <alignment horizontal="center"/>
    </xf>
    <xf numFmtId="9" fontId="13" fillId="0" borderId="4" xfId="0" applyNumberFormat="1" applyFont="1" applyBorder="1" applyAlignment="1">
      <alignment horizontal="center"/>
    </xf>
    <xf numFmtId="9" fontId="10" fillId="0" borderId="4" xfId="0" applyNumberFormat="1" applyFont="1" applyBorder="1" applyAlignment="1">
      <alignment horizontal="center"/>
    </xf>
    <xf numFmtId="0" fontId="8" fillId="0" borderId="0" xfId="0" applyFont="1" applyAlignment="1" applyProtection="1">
      <alignment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4" fontId="8" fillId="0" borderId="0" xfId="0" applyNumberFormat="1" applyFont="1" applyAlignment="1" applyProtection="1">
      <alignment horizontal="center" vertical="center" wrapText="1"/>
      <protection locked="0"/>
    </xf>
    <xf numFmtId="165" fontId="8" fillId="0" borderId="0" xfId="0" applyNumberFormat="1" applyFont="1" applyAlignment="1" applyProtection="1">
      <alignment vertical="center" wrapText="1"/>
      <protection locked="0"/>
    </xf>
    <xf numFmtId="166" fontId="7" fillId="0" borderId="4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 applyProtection="1">
      <alignment vertical="center" wrapText="1"/>
      <protection locked="0"/>
    </xf>
    <xf numFmtId="165" fontId="12" fillId="0" borderId="0" xfId="0" applyNumberFormat="1" applyFont="1" applyAlignment="1" applyProtection="1">
      <alignment wrapText="1"/>
      <protection locked="0"/>
    </xf>
    <xf numFmtId="164" fontId="7" fillId="0" borderId="0" xfId="0" applyNumberFormat="1" applyFont="1"/>
    <xf numFmtId="0" fontId="25" fillId="0" borderId="0" xfId="0" applyFont="1"/>
    <xf numFmtId="0" fontId="16" fillId="2" borderId="13" xfId="0" applyFont="1" applyFill="1" applyBorder="1" applyAlignment="1" applyProtection="1">
      <alignment horizontal="center" vertical="center" wrapText="1"/>
      <protection locked="0"/>
    </xf>
    <xf numFmtId="0" fontId="16" fillId="2" borderId="4" xfId="0" applyFont="1" applyFill="1" applyBorder="1" applyAlignment="1" applyProtection="1">
      <alignment horizontal="center" vertical="center" wrapText="1"/>
      <protection locked="0"/>
    </xf>
    <xf numFmtId="1" fontId="8" fillId="0" borderId="4" xfId="0" applyNumberFormat="1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8" borderId="0" xfId="0" applyFont="1" applyFill="1"/>
    <xf numFmtId="0" fontId="6" fillId="8" borderId="0" xfId="0" applyFont="1" applyFill="1"/>
    <xf numFmtId="0" fontId="5" fillId="8" borderId="0" xfId="0" applyFont="1" applyFill="1"/>
    <xf numFmtId="0" fontId="13" fillId="8" borderId="0" xfId="0" applyFont="1" applyFill="1"/>
    <xf numFmtId="0" fontId="13" fillId="8" borderId="0" xfId="0" applyFont="1" applyFill="1" applyAlignment="1">
      <alignment vertical="top"/>
    </xf>
    <xf numFmtId="0" fontId="12" fillId="2" borderId="4" xfId="0" applyFont="1" applyFill="1" applyBorder="1" applyAlignment="1">
      <alignment horizontal="right"/>
    </xf>
    <xf numFmtId="0" fontId="20" fillId="7" borderId="17" xfId="0" applyFont="1" applyFill="1" applyBorder="1" applyAlignment="1">
      <alignment horizontal="center"/>
    </xf>
    <xf numFmtId="0" fontId="8" fillId="0" borderId="5" xfId="0" applyFont="1" applyBorder="1" applyAlignment="1" applyProtection="1">
      <alignment vertical="center" wrapText="1"/>
      <protection locked="0"/>
    </xf>
    <xf numFmtId="0" fontId="12" fillId="10" borderId="4" xfId="0" applyFont="1" applyFill="1" applyBorder="1" applyAlignment="1">
      <alignment horizontal="right"/>
    </xf>
    <xf numFmtId="0" fontId="16" fillId="10" borderId="4" xfId="0" applyFont="1" applyFill="1" applyBorder="1" applyAlignment="1" applyProtection="1">
      <alignment horizontal="center" vertical="center" wrapText="1"/>
      <protection locked="0"/>
    </xf>
    <xf numFmtId="0" fontId="29" fillId="0" borderId="6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0" fillId="11" borderId="4" xfId="0" applyFill="1" applyBorder="1"/>
    <xf numFmtId="0" fontId="16" fillId="10" borderId="13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12" borderId="0" xfId="0" applyFont="1" applyFill="1"/>
    <xf numFmtId="0" fontId="44" fillId="0" borderId="0" xfId="0" applyFont="1" applyAlignment="1">
      <alignment vertical="center"/>
    </xf>
    <xf numFmtId="0" fontId="8" fillId="13" borderId="0" xfId="0" applyFont="1" applyFill="1" applyAlignment="1">
      <alignment horizontal="right" vertical="center"/>
    </xf>
    <xf numFmtId="0" fontId="8" fillId="13" borderId="0" xfId="0" applyFont="1" applyFill="1" applyAlignment="1">
      <alignment vertical="center"/>
    </xf>
    <xf numFmtId="0" fontId="5" fillId="13" borderId="0" xfId="0" applyFont="1" applyFill="1" applyAlignment="1">
      <alignment vertical="center"/>
    </xf>
    <xf numFmtId="0" fontId="7" fillId="13" borderId="0" xfId="0" applyFont="1" applyFill="1"/>
    <xf numFmtId="0" fontId="6" fillId="13" borderId="0" xfId="0" applyFont="1" applyFill="1"/>
    <xf numFmtId="0" fontId="8" fillId="3" borderId="5" xfId="0" applyFont="1" applyFill="1" applyBorder="1" applyAlignment="1" applyProtection="1">
      <alignment vertical="center" wrapText="1"/>
      <protection locked="0"/>
    </xf>
    <xf numFmtId="0" fontId="16" fillId="3" borderId="0" xfId="0" applyFont="1" applyFill="1" applyAlignment="1" applyProtection="1">
      <alignment horizontal="center" vertical="center" wrapText="1"/>
      <protection locked="0"/>
    </xf>
    <xf numFmtId="0" fontId="43" fillId="3" borderId="0" xfId="0" applyFont="1" applyFill="1"/>
    <xf numFmtId="1" fontId="8" fillId="14" borderId="0" xfId="0" applyNumberFormat="1" applyFont="1" applyFill="1" applyAlignment="1" applyProtection="1">
      <alignment horizontal="center" vertical="center" wrapText="1"/>
      <protection locked="0"/>
    </xf>
    <xf numFmtId="0" fontId="8" fillId="14" borderId="5" xfId="0" applyFont="1" applyFill="1" applyBorder="1" applyAlignment="1" applyProtection="1">
      <alignment horizontal="center" vertical="center" wrapText="1"/>
      <protection locked="0"/>
    </xf>
    <xf numFmtId="0" fontId="8" fillId="14" borderId="0" xfId="0" applyFont="1" applyFill="1" applyAlignment="1" applyProtection="1">
      <alignment horizontal="center" vertical="center" wrapText="1"/>
      <protection locked="0"/>
    </xf>
    <xf numFmtId="166" fontId="5" fillId="14" borderId="0" xfId="0" applyNumberFormat="1" applyFont="1" applyFill="1" applyAlignment="1">
      <alignment horizontal="center" wrapText="1"/>
    </xf>
    <xf numFmtId="0" fontId="8" fillId="14" borderId="0" xfId="0" applyFont="1" applyFill="1" applyAlignment="1" applyProtection="1">
      <alignment wrapText="1"/>
      <protection locked="0"/>
    </xf>
    <xf numFmtId="0" fontId="45" fillId="0" borderId="0" xfId="0" applyFont="1" applyAlignment="1" applyProtection="1">
      <alignment wrapText="1"/>
      <protection locked="0"/>
    </xf>
    <xf numFmtId="0" fontId="45" fillId="3" borderId="0" xfId="0" applyFont="1" applyFill="1" applyAlignment="1" applyProtection="1">
      <alignment wrapText="1"/>
      <protection locked="0"/>
    </xf>
    <xf numFmtId="0" fontId="34" fillId="0" borderId="0" xfId="0" applyFont="1" applyAlignment="1">
      <alignment horizontal="right" vertical="center"/>
    </xf>
    <xf numFmtId="0" fontId="45" fillId="0" borderId="0" xfId="0" applyFont="1" applyAlignment="1" applyProtection="1">
      <alignment vertical="center" wrapText="1"/>
      <protection locked="0"/>
    </xf>
    <xf numFmtId="9" fontId="13" fillId="0" borderId="0" xfId="1" applyFont="1"/>
    <xf numFmtId="9" fontId="8" fillId="14" borderId="0" xfId="0" applyNumberFormat="1" applyFont="1" applyFill="1" applyAlignment="1" applyProtection="1">
      <alignment horizontal="center" vertical="top" wrapText="1"/>
      <protection locked="0"/>
    </xf>
    <xf numFmtId="0" fontId="7" fillId="14" borderId="0" xfId="0" applyFont="1" applyFill="1" applyAlignment="1">
      <alignment horizontal="center" vertical="top" wrapText="1"/>
    </xf>
    <xf numFmtId="0" fontId="43" fillId="0" borderId="0" xfId="0" applyFont="1"/>
    <xf numFmtId="0" fontId="46" fillId="3" borderId="0" xfId="0" applyFont="1" applyFill="1"/>
    <xf numFmtId="0" fontId="47" fillId="3" borderId="0" xfId="0" applyFont="1" applyFill="1"/>
    <xf numFmtId="0" fontId="47" fillId="8" borderId="0" xfId="0" applyFont="1" applyFill="1"/>
    <xf numFmtId="0" fontId="7" fillId="4" borderId="2" xfId="0" applyFont="1" applyFill="1" applyBorder="1" applyAlignment="1">
      <alignment horizontal="center" vertical="center" wrapText="1"/>
    </xf>
    <xf numFmtId="0" fontId="45" fillId="3" borderId="0" xfId="0" applyFont="1" applyFill="1"/>
    <xf numFmtId="2" fontId="47" fillId="3" borderId="0" xfId="0" applyNumberFormat="1" applyFont="1" applyFill="1"/>
    <xf numFmtId="2" fontId="7" fillId="3" borderId="27" xfId="1" applyNumberFormat="1" applyFont="1" applyFill="1" applyBorder="1" applyAlignment="1">
      <alignment horizontal="center"/>
    </xf>
    <xf numFmtId="2" fontId="7" fillId="3" borderId="13" xfId="1" applyNumberFormat="1" applyFont="1" applyFill="1" applyBorder="1" applyAlignment="1">
      <alignment horizontal="center"/>
    </xf>
    <xf numFmtId="165" fontId="37" fillId="0" borderId="0" xfId="0" applyNumberFormat="1" applyFont="1" applyAlignment="1" applyProtection="1">
      <alignment horizontal="right" vertical="top" wrapText="1"/>
      <protection locked="0"/>
    </xf>
    <xf numFmtId="165" fontId="18" fillId="0" borderId="0" xfId="0" applyNumberFormat="1" applyFont="1" applyAlignment="1" applyProtection="1">
      <alignment horizontal="right" vertical="top" wrapText="1"/>
      <protection locked="0"/>
    </xf>
    <xf numFmtId="0" fontId="12" fillId="2" borderId="27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165" fontId="12" fillId="0" borderId="1" xfId="0" applyNumberFormat="1" applyFont="1" applyBorder="1" applyAlignment="1" applyProtection="1">
      <alignment horizontal="center" wrapText="1"/>
      <protection locked="0"/>
    </xf>
    <xf numFmtId="0" fontId="9" fillId="0" borderId="5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8" fillId="11" borderId="2" xfId="0" applyFont="1" applyFill="1" applyBorder="1" applyAlignment="1" applyProtection="1">
      <alignment horizontal="center" vertical="center" wrapText="1"/>
      <protection locked="0"/>
    </xf>
    <xf numFmtId="0" fontId="8" fillId="11" borderId="26" xfId="0" applyFont="1" applyFill="1" applyBorder="1" applyAlignment="1" applyProtection="1">
      <alignment horizontal="center" vertical="center" wrapText="1"/>
      <protection locked="0"/>
    </xf>
    <xf numFmtId="0" fontId="8" fillId="11" borderId="3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165" fontId="41" fillId="0" borderId="0" xfId="0" applyNumberFormat="1" applyFont="1" applyAlignment="1" applyProtection="1">
      <alignment horizontal="right" vertical="top" wrapText="1"/>
      <protection locked="0"/>
    </xf>
    <xf numFmtId="165" fontId="40" fillId="0" borderId="0" xfId="0" applyNumberFormat="1" applyFont="1" applyAlignment="1" applyProtection="1">
      <alignment horizontal="right" vertical="top" wrapText="1"/>
      <protection locked="0"/>
    </xf>
    <xf numFmtId="0" fontId="29" fillId="0" borderId="14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166" fontId="24" fillId="6" borderId="16" xfId="0" applyNumberFormat="1" applyFont="1" applyFill="1" applyBorder="1" applyAlignment="1">
      <alignment horizontal="center"/>
    </xf>
    <xf numFmtId="0" fontId="24" fillId="6" borderId="1" xfId="0" applyFont="1" applyFill="1" applyBorder="1" applyAlignment="1">
      <alignment horizontal="center"/>
    </xf>
    <xf numFmtId="0" fontId="24" fillId="6" borderId="7" xfId="0" applyFont="1" applyFill="1" applyBorder="1" applyAlignment="1">
      <alignment horizontal="center"/>
    </xf>
    <xf numFmtId="165" fontId="12" fillId="0" borderId="0" xfId="0" applyNumberFormat="1" applyFont="1" applyAlignment="1" applyProtection="1">
      <alignment horizontal="left" wrapText="1"/>
      <protection locked="0"/>
    </xf>
    <xf numFmtId="0" fontId="10" fillId="0" borderId="0" xfId="0" applyFont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7" fillId="11" borderId="0" xfId="0" applyFont="1" applyFill="1" applyAlignment="1">
      <alignment horizontal="center"/>
    </xf>
    <xf numFmtId="0" fontId="7" fillId="11" borderId="12" xfId="0" applyFont="1" applyFill="1" applyBorder="1" applyAlignment="1">
      <alignment horizontal="center"/>
    </xf>
    <xf numFmtId="0" fontId="7" fillId="7" borderId="14" xfId="0" applyFont="1" applyFill="1" applyBorder="1" applyAlignment="1">
      <alignment horizontal="center" wrapText="1"/>
    </xf>
    <xf numFmtId="0" fontId="7" fillId="7" borderId="6" xfId="0" applyFont="1" applyFill="1" applyBorder="1" applyAlignment="1">
      <alignment horizontal="center" wrapText="1"/>
    </xf>
    <xf numFmtId="0" fontId="7" fillId="7" borderId="15" xfId="0" applyFont="1" applyFill="1" applyBorder="1" applyAlignment="1">
      <alignment horizontal="center" wrapText="1"/>
    </xf>
    <xf numFmtId="0" fontId="7" fillId="7" borderId="5" xfId="0" applyFont="1" applyFill="1" applyBorder="1" applyAlignment="1">
      <alignment horizontal="center" wrapText="1"/>
    </xf>
    <xf numFmtId="0" fontId="7" fillId="7" borderId="0" xfId="0" applyFont="1" applyFill="1" applyAlignment="1">
      <alignment horizontal="center" wrapText="1"/>
    </xf>
    <xf numFmtId="0" fontId="7" fillId="7" borderId="12" xfId="0" applyFont="1" applyFill="1" applyBorder="1" applyAlignment="1">
      <alignment horizontal="center" wrapText="1"/>
    </xf>
    <xf numFmtId="0" fontId="7" fillId="7" borderId="16" xfId="0" applyFont="1" applyFill="1" applyBorder="1" applyAlignment="1">
      <alignment horizontal="center" wrapText="1"/>
    </xf>
    <xf numFmtId="0" fontId="7" fillId="7" borderId="1" xfId="0" applyFont="1" applyFill="1" applyBorder="1" applyAlignment="1">
      <alignment horizontal="center" wrapText="1"/>
    </xf>
    <xf numFmtId="0" fontId="7" fillId="7" borderId="7" xfId="0" applyFont="1" applyFill="1" applyBorder="1" applyAlignment="1">
      <alignment horizontal="center" wrapText="1"/>
    </xf>
    <xf numFmtId="0" fontId="14" fillId="0" borderId="0" xfId="0" applyFont="1" applyAlignment="1">
      <alignment horizontal="left"/>
    </xf>
    <xf numFmtId="0" fontId="6" fillId="10" borderId="4" xfId="0" applyFont="1" applyFill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7" fillId="10" borderId="0" xfId="0" applyFont="1" applyFill="1" applyAlignment="1">
      <alignment horizontal="center"/>
    </xf>
    <xf numFmtId="0" fontId="7" fillId="10" borderId="12" xfId="0" applyFont="1" applyFill="1" applyBorder="1" applyAlignment="1">
      <alignment horizontal="center"/>
    </xf>
    <xf numFmtId="0" fontId="27" fillId="0" borderId="0" xfId="0" applyFont="1" applyAlignment="1" applyProtection="1">
      <alignment horizontal="center" wrapText="1"/>
      <protection locked="0"/>
    </xf>
    <xf numFmtId="166" fontId="7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20" xfId="0" applyNumberFormat="1" applyFont="1" applyBorder="1" applyAlignment="1">
      <alignment horizontal="center" vertical="center"/>
    </xf>
    <xf numFmtId="166" fontId="7" fillId="0" borderId="21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34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166" fontId="6" fillId="2" borderId="20" xfId="0" applyNumberFormat="1" applyFont="1" applyFill="1" applyBorder="1" applyAlignment="1">
      <alignment horizontal="center" vertical="center"/>
    </xf>
    <xf numFmtId="166" fontId="6" fillId="2" borderId="24" xfId="0" applyNumberFormat="1" applyFont="1" applyFill="1" applyBorder="1" applyAlignment="1">
      <alignment horizontal="center" vertical="center"/>
    </xf>
    <xf numFmtId="166" fontId="6" fillId="2" borderId="21" xfId="0" applyNumberFormat="1" applyFont="1" applyFill="1" applyBorder="1" applyAlignment="1">
      <alignment horizontal="center" vertical="center"/>
    </xf>
    <xf numFmtId="0" fontId="7" fillId="8" borderId="18" xfId="0" applyFont="1" applyFill="1" applyBorder="1" applyAlignment="1">
      <alignment horizontal="center"/>
    </xf>
    <xf numFmtId="0" fontId="7" fillId="8" borderId="25" xfId="0" applyFont="1" applyFill="1" applyBorder="1" applyAlignment="1">
      <alignment horizontal="center"/>
    </xf>
    <xf numFmtId="0" fontId="7" fillId="8" borderId="1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right" wrapText="1"/>
    </xf>
    <xf numFmtId="166" fontId="7" fillId="0" borderId="30" xfId="0" applyNumberFormat="1" applyFont="1" applyBorder="1" applyAlignment="1">
      <alignment horizontal="center" vertical="center"/>
    </xf>
    <xf numFmtId="166" fontId="7" fillId="0" borderId="31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166" fontId="7" fillId="0" borderId="34" xfId="0" applyNumberFormat="1" applyFont="1" applyBorder="1" applyAlignment="1">
      <alignment horizontal="center" vertical="center"/>
    </xf>
    <xf numFmtId="166" fontId="7" fillId="0" borderId="35" xfId="0" applyNumberFormat="1" applyFont="1" applyBorder="1" applyAlignment="1">
      <alignment horizontal="center" vertical="center"/>
    </xf>
    <xf numFmtId="164" fontId="26" fillId="0" borderId="30" xfId="0" applyNumberFormat="1" applyFont="1" applyBorder="1" applyAlignment="1">
      <alignment horizontal="center" vertical="center"/>
    </xf>
    <xf numFmtId="164" fontId="26" fillId="0" borderId="31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0" fontId="28" fillId="9" borderId="32" xfId="0" applyFont="1" applyFill="1" applyBorder="1" applyAlignment="1">
      <alignment horizontal="center" vertical="center"/>
    </xf>
    <xf numFmtId="0" fontId="28" fillId="9" borderId="33" xfId="0" applyFont="1" applyFill="1" applyBorder="1" applyAlignment="1">
      <alignment horizontal="center" vertical="center"/>
    </xf>
    <xf numFmtId="0" fontId="7" fillId="8" borderId="28" xfId="0" applyFont="1" applyFill="1" applyBorder="1" applyAlignment="1">
      <alignment horizontal="center"/>
    </xf>
    <xf numFmtId="0" fontId="7" fillId="8" borderId="29" xfId="0" applyFont="1" applyFill="1" applyBorder="1" applyAlignment="1">
      <alignment horizontal="center"/>
    </xf>
    <xf numFmtId="0" fontId="35" fillId="0" borderId="0" xfId="0" applyFont="1" applyAlignment="1">
      <alignment horizontal="right" vertical="center"/>
    </xf>
    <xf numFmtId="0" fontId="35" fillId="0" borderId="12" xfId="0" applyFont="1" applyBorder="1" applyAlignment="1">
      <alignment horizontal="right" vertical="center"/>
    </xf>
    <xf numFmtId="0" fontId="27" fillId="0" borderId="0" xfId="0" applyFont="1" applyAlignment="1">
      <alignment horizontal="right" vertical="center" wrapText="1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19" fillId="0" borderId="12" xfId="0" applyFont="1" applyBorder="1" applyAlignment="1">
      <alignment horizontal="right" wrapText="1"/>
    </xf>
    <xf numFmtId="0" fontId="18" fillId="0" borderId="0" xfId="0" applyFont="1" applyAlignment="1">
      <alignment horizontal="right" vertical="center" wrapText="1"/>
    </xf>
    <xf numFmtId="0" fontId="19" fillId="0" borderId="12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14" borderId="37" xfId="0" applyFont="1" applyFill="1" applyBorder="1" applyAlignment="1">
      <alignment horizontal="center" vertical="top" wrapText="1"/>
    </xf>
    <xf numFmtId="0" fontId="7" fillId="14" borderId="6" xfId="0" applyFont="1" applyFill="1" applyBorder="1" applyAlignment="1">
      <alignment horizontal="center" vertical="top" wrapText="1"/>
    </xf>
    <xf numFmtId="0" fontId="8" fillId="14" borderId="0" xfId="0" applyFont="1" applyFill="1" applyAlignment="1" applyProtection="1">
      <alignment horizontal="center" vertical="top"/>
      <protection locked="0"/>
    </xf>
    <xf numFmtId="165" fontId="12" fillId="0" borderId="0" xfId="0" applyNumberFormat="1" applyFont="1" applyAlignment="1" applyProtection="1">
      <alignment horizontal="center" wrapText="1"/>
      <protection locked="0"/>
    </xf>
    <xf numFmtId="166" fontId="24" fillId="6" borderId="2" xfId="0" applyNumberFormat="1" applyFont="1" applyFill="1" applyBorder="1" applyAlignment="1">
      <alignment horizontal="center"/>
    </xf>
    <xf numFmtId="166" fontId="24" fillId="6" borderId="26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5">
    <cellStyle name="Normal" xfId="0" builtinId="0"/>
    <cellStyle name="Normal 2" xfId="3" xr:uid="{00000000-0005-0000-0000-000002000000}"/>
    <cellStyle name="Normal 3 5" xfId="4" xr:uid="{00000000-0005-0000-0000-000003000000}"/>
    <cellStyle name="Percent" xfId="1" builtinId="5"/>
    <cellStyle name="Standard_HWB Kurzverf. Formular" xfId="2" xr:uid="{00000000-0005-0000-0000-000005000000}"/>
  </cellStyles>
  <dxfs count="16">
    <dxf>
      <font>
        <b/>
        <i val="0"/>
        <color rgb="FFFF3399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3399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3399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3399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00FFFF"/>
        </patternFill>
      </fill>
    </dxf>
    <dxf>
      <font>
        <b/>
        <i val="0"/>
        <color rgb="FFFF3399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ont>
        <b/>
        <i val="0"/>
        <color rgb="FFFF3399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66FF99"/>
      <color rgb="FFFF3399"/>
      <color rgb="FFE1FF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alcChain" Target="calcChain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279501</xdr:colOff>
      <xdr:row>32</xdr:row>
      <xdr:rowOff>160531</xdr:rowOff>
    </xdr:from>
    <xdr:to>
      <xdr:col>15</xdr:col>
      <xdr:colOff>1324625</xdr:colOff>
      <xdr:row>40</xdr:row>
      <xdr:rowOff>141766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9EAD2C-944F-4993-A576-5FCAA02FA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6617" y="8267857"/>
          <a:ext cx="5455295" cy="1398909"/>
        </a:xfrm>
        <a:prstGeom prst="rect">
          <a:avLst/>
        </a:prstGeom>
      </xdr:spPr>
    </xdr:pic>
    <xdr:clientData/>
  </xdr:twoCellAnchor>
  <xdr:twoCellAnchor editAs="oneCell">
    <xdr:from>
      <xdr:col>1</xdr:col>
      <xdr:colOff>412926</xdr:colOff>
      <xdr:row>31</xdr:row>
      <xdr:rowOff>131620</xdr:rowOff>
    </xdr:from>
    <xdr:to>
      <xdr:col>5</xdr:col>
      <xdr:colOff>423554</xdr:colOff>
      <xdr:row>54</xdr:row>
      <xdr:rowOff>8134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10C261-2B83-9A9B-A288-80B4F5A9D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926" y="5417129"/>
          <a:ext cx="4655712" cy="38596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279501</xdr:colOff>
      <xdr:row>32</xdr:row>
      <xdr:rowOff>160531</xdr:rowOff>
    </xdr:from>
    <xdr:to>
      <xdr:col>16</xdr:col>
      <xdr:colOff>368389</xdr:colOff>
      <xdr:row>40</xdr:row>
      <xdr:rowOff>141763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2752A6-F807-41E3-B7A8-6EF5D240F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13801" y="7570981"/>
          <a:ext cx="5331374" cy="1505235"/>
        </a:xfrm>
        <a:prstGeom prst="rect">
          <a:avLst/>
        </a:prstGeom>
      </xdr:spPr>
    </xdr:pic>
    <xdr:clientData/>
  </xdr:twoCellAnchor>
  <xdr:twoCellAnchor editAs="oneCell">
    <xdr:from>
      <xdr:col>1</xdr:col>
      <xdr:colOff>412926</xdr:colOff>
      <xdr:row>31</xdr:row>
      <xdr:rowOff>131620</xdr:rowOff>
    </xdr:from>
    <xdr:to>
      <xdr:col>5</xdr:col>
      <xdr:colOff>399742</xdr:colOff>
      <xdr:row>54</xdr:row>
      <xdr:rowOff>8134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072A99-6EDF-4950-AD70-3D9D78C3E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8651" y="7351570"/>
          <a:ext cx="4496903" cy="42580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365760</xdr:colOff>
      <xdr:row>18</xdr:row>
      <xdr:rowOff>135754</xdr:rowOff>
    </xdr:from>
    <xdr:to>
      <xdr:col>11</xdr:col>
      <xdr:colOff>144780</xdr:colOff>
      <xdr:row>38</xdr:row>
      <xdr:rowOff>38261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F32801-0717-48B3-8444-9267A7A99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8680" y="3633334"/>
          <a:ext cx="4305300" cy="3567727"/>
        </a:xfrm>
        <a:prstGeom prst="rect">
          <a:avLst/>
        </a:prstGeom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4</v>
    <v>8</v>
    <v>0</v>
    <v>6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N75"/>
  <sheetViews>
    <sheetView showGridLines="0" tabSelected="1" zoomScale="90" zoomScaleNormal="90" zoomScaleSheetLayoutView="90" workbookViewId="0">
      <selection activeCell="D15" sqref="D15:G15"/>
    </sheetView>
  </sheetViews>
  <sheetFormatPr defaultColWidth="8.85546875" defaultRowHeight="15" x14ac:dyDescent="0.25"/>
  <cols>
    <col min="1" max="1" width="1.28515625" style="42" customWidth="1"/>
    <col min="2" max="2" width="23.5703125" style="1" customWidth="1"/>
    <col min="3" max="3" width="19.7109375" style="1" customWidth="1"/>
    <col min="4" max="4" width="10.28515625" style="1" customWidth="1"/>
    <col min="5" max="5" width="13.7109375" style="1" customWidth="1"/>
    <col min="6" max="6" width="13" style="1" customWidth="1"/>
    <col min="7" max="7" width="15.28515625" style="1" customWidth="1"/>
    <col min="8" max="9" width="9.5703125" style="1" customWidth="1"/>
    <col min="10" max="10" width="7.7109375" style="1" customWidth="1"/>
    <col min="11" max="11" width="4.85546875" style="1" customWidth="1"/>
    <col min="12" max="12" width="10.28515625" style="1" customWidth="1"/>
    <col min="13" max="13" width="13.7109375" style="1" customWidth="1"/>
    <col min="14" max="14" width="14.7109375" style="1" customWidth="1"/>
    <col min="15" max="15" width="13" style="1" customWidth="1"/>
    <col min="16" max="16" width="22" style="1" customWidth="1"/>
    <col min="17" max="18" width="9.5703125" style="1" customWidth="1"/>
    <col min="19" max="19" width="5.42578125" style="1" customWidth="1"/>
    <col min="20" max="20" width="10.140625" style="1" customWidth="1"/>
    <col min="21" max="21" width="8.85546875" style="1"/>
    <col min="22" max="40" width="8.85546875" style="42"/>
    <col min="41" max="16384" width="8.85546875" style="1"/>
  </cols>
  <sheetData>
    <row r="1" spans="1:40" s="42" customFormat="1" ht="4.1500000000000004" customHeight="1" x14ac:dyDescent="0.25">
      <c r="B1" s="45"/>
      <c r="C1" s="46"/>
      <c r="D1" s="45"/>
      <c r="E1" s="45"/>
      <c r="F1" s="45"/>
      <c r="G1" s="45"/>
      <c r="H1" s="45"/>
      <c r="I1" s="45"/>
      <c r="J1" s="45"/>
      <c r="L1" s="45"/>
      <c r="M1" s="45"/>
      <c r="N1" s="45"/>
      <c r="O1" s="45"/>
      <c r="P1" s="45"/>
      <c r="Q1" s="45"/>
      <c r="R1" s="45"/>
    </row>
    <row r="2" spans="1:40" ht="22.5" x14ac:dyDescent="0.25">
      <c r="B2" s="107" t="s">
        <v>0</v>
      </c>
      <c r="C2" s="108"/>
      <c r="D2" s="108"/>
      <c r="E2" s="108"/>
      <c r="F2" s="113" t="s">
        <v>1</v>
      </c>
      <c r="G2" s="113"/>
      <c r="H2" s="113"/>
      <c r="I2" s="113"/>
      <c r="J2" s="113"/>
      <c r="K2" s="114"/>
      <c r="L2" s="39"/>
      <c r="M2" s="125" t="s">
        <v>2</v>
      </c>
      <c r="N2" s="126"/>
      <c r="O2" s="126"/>
      <c r="P2" s="126"/>
      <c r="Q2" s="126"/>
      <c r="R2" s="126"/>
      <c r="S2" s="126"/>
      <c r="T2" s="126"/>
      <c r="U2" s="127"/>
    </row>
    <row r="3" spans="1:40" s="2" customFormat="1" ht="15.6" customHeight="1" x14ac:dyDescent="0.25">
      <c r="A3" s="43"/>
      <c r="B3" s="109"/>
      <c r="C3" s="110"/>
      <c r="D3" s="110"/>
      <c r="E3" s="110"/>
      <c r="F3" s="139" t="s">
        <v>3</v>
      </c>
      <c r="G3" s="139"/>
      <c r="H3" s="139"/>
      <c r="I3" s="139"/>
      <c r="J3" s="139"/>
      <c r="K3" s="140"/>
      <c r="L3" s="39"/>
      <c r="M3" s="128"/>
      <c r="N3" s="129"/>
      <c r="O3" s="129"/>
      <c r="P3" s="129"/>
      <c r="Q3" s="129"/>
      <c r="R3" s="129"/>
      <c r="S3" s="129"/>
      <c r="T3" s="129"/>
      <c r="U3" s="130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</row>
    <row r="4" spans="1:40" s="2" customFormat="1" ht="15.6" customHeight="1" x14ac:dyDescent="0.25">
      <c r="A4" s="43"/>
      <c r="B4" s="109"/>
      <c r="C4" s="110"/>
      <c r="D4" s="110"/>
      <c r="E4" s="110"/>
      <c r="F4" s="123" t="s">
        <v>4</v>
      </c>
      <c r="G4" s="123"/>
      <c r="H4" s="123"/>
      <c r="I4" s="123"/>
      <c r="J4" s="123"/>
      <c r="K4" s="124"/>
      <c r="L4" s="39"/>
      <c r="M4" s="131"/>
      <c r="N4" s="132"/>
      <c r="O4" s="132"/>
      <c r="P4" s="132"/>
      <c r="Q4" s="132"/>
      <c r="R4" s="132"/>
      <c r="S4" s="132"/>
      <c r="T4" s="132"/>
      <c r="U4" s="13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</row>
    <row r="5" spans="1:40" s="2" customFormat="1" ht="15.6" customHeight="1" x14ac:dyDescent="0.3">
      <c r="A5" s="43"/>
      <c r="B5" s="111"/>
      <c r="C5" s="112"/>
      <c r="D5" s="112"/>
      <c r="E5" s="112"/>
      <c r="F5" s="115" t="s">
        <v>5</v>
      </c>
      <c r="G5" s="115"/>
      <c r="H5" s="115"/>
      <c r="I5" s="115"/>
      <c r="J5" s="115"/>
      <c r="K5" s="116"/>
      <c r="L5" s="39"/>
      <c r="M5" s="117" t="e">
        <f>ROUND((H29-Q29),3)</f>
        <v>#DIV/0!</v>
      </c>
      <c r="N5" s="118"/>
      <c r="O5" s="118"/>
      <c r="P5" s="118"/>
      <c r="Q5" s="118"/>
      <c r="R5" s="118"/>
      <c r="S5" s="118"/>
      <c r="T5" s="118"/>
      <c r="U5" s="119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</row>
    <row r="6" spans="1:40" s="3" customFormat="1" ht="5.45" customHeight="1" thickBot="1" x14ac:dyDescent="0.25">
      <c r="A6" s="44"/>
      <c r="C6" s="4"/>
      <c r="D6" s="4"/>
      <c r="E6" s="4"/>
      <c r="F6" s="4"/>
      <c r="G6" s="4"/>
      <c r="H6" s="4"/>
      <c r="I6" s="4"/>
      <c r="J6" s="4"/>
      <c r="K6" s="24"/>
      <c r="L6" s="4"/>
      <c r="M6" s="24"/>
      <c r="N6" s="24"/>
      <c r="O6" s="24"/>
      <c r="P6" s="24"/>
      <c r="Q6" s="24"/>
      <c r="R6" s="2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</row>
    <row r="7" spans="1:40" ht="16.5" thickBot="1" x14ac:dyDescent="0.3">
      <c r="C7" s="121" t="s">
        <v>6</v>
      </c>
      <c r="D7" s="121"/>
      <c r="E7" s="122"/>
      <c r="F7" s="135"/>
      <c r="G7" s="135"/>
      <c r="H7" s="135"/>
      <c r="I7" s="135"/>
      <c r="J7" s="135"/>
      <c r="K7" s="28"/>
      <c r="L7" s="23"/>
      <c r="M7" s="136" t="s">
        <v>7</v>
      </c>
      <c r="N7" s="136"/>
      <c r="O7" s="136"/>
      <c r="P7" s="136"/>
      <c r="Q7" s="136"/>
      <c r="R7" s="136"/>
      <c r="S7" s="137"/>
      <c r="T7" s="48" t="e">
        <f>+Dati!G17</f>
        <v>#DIV/0!</v>
      </c>
      <c r="U7" s="1" t="s">
        <v>8</v>
      </c>
    </row>
    <row r="8" spans="1:40" ht="15.75" customHeight="1" x14ac:dyDescent="0.25">
      <c r="B8" s="23"/>
      <c r="C8" s="121" t="s">
        <v>9</v>
      </c>
      <c r="D8" s="121"/>
      <c r="E8" s="121"/>
      <c r="F8" s="121"/>
      <c r="G8" s="121"/>
      <c r="H8" s="122"/>
      <c r="I8" s="50"/>
      <c r="J8" s="1" t="s">
        <v>10</v>
      </c>
      <c r="K8" s="134" t="str">
        <f>IF(I8&lt;50,"Neatbilst","")</f>
        <v>Neatbilst</v>
      </c>
      <c r="L8" s="134"/>
    </row>
    <row r="9" spans="1:40" ht="14.45" customHeight="1" x14ac:dyDescent="0.25">
      <c r="B9" s="23"/>
      <c r="C9" s="136" t="s">
        <v>11</v>
      </c>
      <c r="D9" s="136"/>
      <c r="E9" s="136"/>
      <c r="F9" s="136"/>
      <c r="G9" s="136"/>
      <c r="H9" s="138"/>
      <c r="I9" s="50"/>
      <c r="J9" s="1" t="s">
        <v>12</v>
      </c>
      <c r="K9" s="40"/>
      <c r="L9" s="41"/>
      <c r="M9" s="23"/>
      <c r="N9" s="178" t="s">
        <v>13</v>
      </c>
      <c r="O9" s="178"/>
      <c r="P9" s="178"/>
      <c r="Q9" s="178"/>
      <c r="R9" s="178"/>
      <c r="S9" s="179"/>
      <c r="T9" s="47"/>
      <c r="U9" s="1" t="s">
        <v>8</v>
      </c>
    </row>
    <row r="10" spans="1:40" ht="14.45" customHeight="1" x14ac:dyDescent="0.25">
      <c r="B10" s="23"/>
      <c r="C10" s="136" t="s">
        <v>14</v>
      </c>
      <c r="D10" s="136"/>
      <c r="E10" s="136"/>
      <c r="F10" s="136"/>
      <c r="G10" s="136"/>
      <c r="H10" s="138"/>
      <c r="I10" s="47"/>
      <c r="J10" s="1" t="s">
        <v>8</v>
      </c>
      <c r="K10" s="134" t="str">
        <f>IF(I10&gt;50,"Neatbilst","")</f>
        <v/>
      </c>
      <c r="L10" s="134"/>
      <c r="N10" s="178" t="s">
        <v>15</v>
      </c>
      <c r="O10" s="178"/>
      <c r="P10" s="178"/>
      <c r="Q10" s="178"/>
      <c r="R10" s="178"/>
      <c r="S10" s="179"/>
      <c r="T10" s="47"/>
      <c r="U10" s="1" t="s">
        <v>16</v>
      </c>
    </row>
    <row r="11" spans="1:40" s="5" customFormat="1" ht="4.1500000000000004" customHeight="1" x14ac:dyDescent="0.25">
      <c r="A11" s="42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</row>
    <row r="12" spans="1:40" s="5" customFormat="1" ht="13.9" customHeight="1" x14ac:dyDescent="0.25">
      <c r="A12" s="42"/>
      <c r="C12" s="7"/>
      <c r="D12" s="98" t="s">
        <v>17</v>
      </c>
      <c r="E12" s="98"/>
      <c r="F12" s="98"/>
      <c r="G12" s="98"/>
      <c r="H12" s="33"/>
      <c r="I12" s="33"/>
      <c r="J12" s="33"/>
      <c r="K12" s="7"/>
      <c r="L12" s="98" t="s">
        <v>18</v>
      </c>
      <c r="M12" s="98"/>
      <c r="N12" s="98"/>
      <c r="O12" s="98"/>
      <c r="P12" s="94" t="s">
        <v>19</v>
      </c>
      <c r="Q12" s="95"/>
      <c r="R12" s="95"/>
      <c r="S12" s="95"/>
      <c r="T12" s="96">
        <f>IF(Q27="42.2. siltumsūkņa (zeme–ūdens, ūdens–ūdens vai gaiss–ūdens) iegāde",H26/3*1000,IF(Q27="42.4. siltumsūkņa (gaiss–gaiss) iegāde un uzstādīšana",H26/3*1000,0))</f>
        <v>0</v>
      </c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</row>
    <row r="13" spans="1:40" s="2" customFormat="1" ht="15.6" customHeight="1" x14ac:dyDescent="0.25">
      <c r="A13" s="43"/>
      <c r="B13" s="165" t="s">
        <v>20</v>
      </c>
      <c r="C13" s="182"/>
      <c r="D13" s="181" t="s">
        <v>86</v>
      </c>
      <c r="E13" s="181"/>
      <c r="F13" s="181"/>
      <c r="G13" s="181"/>
      <c r="H13" s="32"/>
      <c r="I13" s="32"/>
      <c r="J13" s="32"/>
      <c r="K13" s="26"/>
      <c r="L13" s="101" t="s">
        <v>22</v>
      </c>
      <c r="M13" s="102"/>
      <c r="N13" s="102"/>
      <c r="O13" s="103"/>
      <c r="P13" s="95"/>
      <c r="Q13" s="95"/>
      <c r="R13" s="95"/>
      <c r="S13" s="95"/>
      <c r="T13" s="97"/>
      <c r="U13" s="1" t="s">
        <v>16</v>
      </c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</row>
    <row r="14" spans="1:40" s="2" customFormat="1" ht="31.15" customHeight="1" x14ac:dyDescent="0.25">
      <c r="A14" s="43"/>
      <c r="B14" s="183" t="s">
        <v>23</v>
      </c>
      <c r="C14" s="184"/>
      <c r="D14" s="181" t="s">
        <v>66</v>
      </c>
      <c r="E14" s="181"/>
      <c r="F14" s="181"/>
      <c r="G14" s="181"/>
      <c r="H14" s="32"/>
      <c r="I14" s="32"/>
      <c r="J14" s="32"/>
      <c r="K14" s="25"/>
      <c r="L14" s="101" t="s">
        <v>25</v>
      </c>
      <c r="M14" s="102"/>
      <c r="N14" s="102"/>
      <c r="O14" s="103"/>
      <c r="P14" s="95"/>
      <c r="Q14" s="95"/>
      <c r="R14" s="95"/>
      <c r="S14" s="95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1:40" s="2" customFormat="1" ht="15.75" customHeight="1" x14ac:dyDescent="0.25">
      <c r="A15" s="43"/>
      <c r="B15" s="165" t="s">
        <v>26</v>
      </c>
      <c r="C15" s="182"/>
      <c r="D15" s="181" t="s">
        <v>55</v>
      </c>
      <c r="E15" s="181"/>
      <c r="F15" s="181"/>
      <c r="G15" s="181"/>
      <c r="H15" s="99"/>
      <c r="I15" s="100"/>
      <c r="J15" s="100"/>
      <c r="K15" s="25"/>
      <c r="L15" s="101" t="s">
        <v>27</v>
      </c>
      <c r="M15" s="102"/>
      <c r="N15" s="102"/>
      <c r="O15" s="103"/>
      <c r="P15" s="105" t="s">
        <v>28</v>
      </c>
      <c r="Q15" s="106"/>
      <c r="R15" s="106"/>
      <c r="S15" s="106"/>
      <c r="T15" s="92" t="e">
        <f>(($T10+T12)/($T9*900)*100)</f>
        <v>#DIV/0!</v>
      </c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1:40" s="2" customFormat="1" ht="15.6" customHeight="1" x14ac:dyDescent="0.25">
      <c r="A16" s="43"/>
      <c r="B16" s="183" t="s">
        <v>29</v>
      </c>
      <c r="C16" s="185"/>
      <c r="D16" s="22">
        <v>2020</v>
      </c>
      <c r="E16" s="51"/>
      <c r="F16" s="29" t="str">
        <f>D15</f>
        <v>cieš.m3</v>
      </c>
      <c r="G16" s="104"/>
      <c r="H16" s="104"/>
      <c r="I16" s="104"/>
      <c r="J16" s="104"/>
      <c r="K16" s="25"/>
      <c r="L16" s="22">
        <v>2020</v>
      </c>
      <c r="M16" s="36"/>
      <c r="N16" s="29" t="str">
        <f>L15</f>
        <v>ber.m3</v>
      </c>
      <c r="O16" s="20"/>
      <c r="P16" s="106"/>
      <c r="Q16" s="106"/>
      <c r="R16" s="106"/>
      <c r="S16" s="106"/>
      <c r="T16" s="93"/>
      <c r="U16" s="5" t="s">
        <v>30</v>
      </c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</row>
    <row r="17" spans="1:40" s="2" customFormat="1" ht="15.75" x14ac:dyDescent="0.25">
      <c r="A17" s="43"/>
      <c r="B17" s="183"/>
      <c r="C17" s="185"/>
      <c r="D17" s="21">
        <v>2021</v>
      </c>
      <c r="E17" s="51"/>
      <c r="F17" s="29" t="str">
        <f>D15</f>
        <v>cieš.m3</v>
      </c>
      <c r="G17" s="104"/>
      <c r="H17" s="104"/>
      <c r="I17" s="104"/>
      <c r="J17" s="104"/>
      <c r="K17" s="25"/>
      <c r="L17" s="21">
        <v>2021</v>
      </c>
      <c r="M17" s="37"/>
      <c r="N17" s="29" t="str">
        <f>L15</f>
        <v>ber.m3</v>
      </c>
      <c r="O17" s="20"/>
      <c r="P17" s="106"/>
      <c r="Q17" s="106"/>
      <c r="R17" s="106"/>
      <c r="S17" s="106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0" s="2" customFormat="1" ht="15.75" x14ac:dyDescent="0.25">
      <c r="A18" s="43"/>
      <c r="B18" s="183"/>
      <c r="C18" s="185"/>
      <c r="D18" s="21">
        <v>2022</v>
      </c>
      <c r="E18" s="51"/>
      <c r="F18" s="29" t="str">
        <f>D15</f>
        <v>cieš.m3</v>
      </c>
      <c r="G18" s="104"/>
      <c r="H18" s="104"/>
      <c r="I18" s="104"/>
      <c r="J18" s="104"/>
      <c r="K18" s="25"/>
      <c r="L18" s="21">
        <v>2022</v>
      </c>
      <c r="M18" s="37"/>
      <c r="N18" s="29" t="str">
        <f>L15</f>
        <v>ber.m3</v>
      </c>
      <c r="O18" s="20"/>
      <c r="P18" s="106"/>
      <c r="Q18" s="106"/>
      <c r="R18" s="106"/>
      <c r="S18" s="106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0" s="2" customFormat="1" ht="15.75" x14ac:dyDescent="0.25">
      <c r="A19" s="43"/>
      <c r="B19" s="165" t="s">
        <v>31</v>
      </c>
      <c r="C19" s="165"/>
      <c r="D19" s="165"/>
      <c r="E19" s="38" t="e">
        <f>AVERAGE(E16:E18)</f>
        <v>#DIV/0!</v>
      </c>
      <c r="F19" s="29" t="str">
        <f>D15</f>
        <v>cieš.m3</v>
      </c>
      <c r="G19" s="104"/>
      <c r="H19" s="104"/>
      <c r="I19" s="104"/>
      <c r="J19" s="104"/>
      <c r="K19" s="25"/>
      <c r="L19" s="25"/>
      <c r="M19" s="38">
        <f>IFERROR(AVERAGE(M16:M18),0)</f>
        <v>0</v>
      </c>
      <c r="N19" s="29" t="str">
        <f>L15</f>
        <v>ber.m3</v>
      </c>
      <c r="O19" s="20"/>
      <c r="P19" s="20"/>
      <c r="Q19" s="20"/>
      <c r="R19" s="20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</row>
    <row r="20" spans="1:40" s="2" customFormat="1" ht="32.25" customHeight="1" x14ac:dyDescent="0.25">
      <c r="A20" s="43"/>
      <c r="B20" s="180" t="s">
        <v>32</v>
      </c>
      <c r="C20" s="180"/>
      <c r="D20" s="180"/>
      <c r="E20" s="21">
        <f>VLOOKUP('Projekta dati'!D13,Dati!B14:D26,2,FALSE)</f>
        <v>4.8730000000000002</v>
      </c>
      <c r="F20" s="49" t="str">
        <f>VLOOKUP(D15,Dati!D27:E29,2,FALSE)</f>
        <v>MWh/cieš.m3</v>
      </c>
      <c r="G20" s="32"/>
      <c r="H20" s="20"/>
      <c r="I20" s="20"/>
      <c r="J20" s="20"/>
      <c r="K20" s="25"/>
      <c r="L20" s="25"/>
      <c r="M20" s="21">
        <f>IFERROR(VLOOKUP('Projekta dati'!L13,Dati!B14:D26,2,FALSE),0)</f>
        <v>6.6369999999999996</v>
      </c>
      <c r="N20" s="32" t="str">
        <f>VLOOKUP(L15,Dati!D27:E29,2,FALSE)</f>
        <v>MWh/ber.m3</v>
      </c>
      <c r="O20" s="32"/>
      <c r="P20" s="20"/>
      <c r="Q20" s="20"/>
      <c r="R20" s="20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</row>
    <row r="21" spans="1:40" s="2" customFormat="1" ht="37.5" customHeight="1" x14ac:dyDescent="0.25">
      <c r="A21" s="43"/>
      <c r="B21" s="180" t="s">
        <v>33</v>
      </c>
      <c r="C21" s="180"/>
      <c r="D21" s="180"/>
      <c r="E21" s="21">
        <f>VLOOKUP(D14,Dati!B3:E11,4,FALSE)</f>
        <v>0.85</v>
      </c>
      <c r="F21" s="8"/>
      <c r="G21" s="20"/>
      <c r="H21" s="20"/>
      <c r="I21" s="20"/>
      <c r="J21" s="20"/>
      <c r="K21" s="25"/>
      <c r="L21" s="25"/>
      <c r="M21" s="21">
        <f>IFERROR(VLOOKUP(L14,Dati!B3:E11,4,FALSE),0)</f>
        <v>0.65</v>
      </c>
      <c r="N21" s="8"/>
      <c r="O21" s="20"/>
      <c r="P21" s="20"/>
      <c r="Q21" s="20"/>
      <c r="R21" s="20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</row>
    <row r="22" spans="1:40" s="2" customFormat="1" ht="15.75" x14ac:dyDescent="0.25">
      <c r="A22" s="43"/>
      <c r="B22" s="165" t="s">
        <v>34</v>
      </c>
      <c r="C22" s="165"/>
      <c r="D22" s="165"/>
      <c r="E22" s="21">
        <f>IF(Dati!K2=0,1,IF(Dati!K3=0,1,2.5))</f>
        <v>1</v>
      </c>
      <c r="F22" s="8"/>
      <c r="G22" s="141" t="s">
        <v>35</v>
      </c>
      <c r="H22" s="141"/>
      <c r="I22" s="141" t="s">
        <v>36</v>
      </c>
      <c r="J22" s="141"/>
      <c r="K22" s="25"/>
      <c r="L22" s="25"/>
      <c r="M22" s="21">
        <f>IF(Dati!L2=0,1,IF(Dati!L3=0,1,2.5))</f>
        <v>1</v>
      </c>
      <c r="N22" s="8"/>
      <c r="O22" s="141" t="s">
        <v>35</v>
      </c>
      <c r="P22" s="141"/>
      <c r="Q22" s="141" t="s">
        <v>36</v>
      </c>
      <c r="R22" s="141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</row>
    <row r="23" spans="1:40" s="2" customFormat="1" ht="15.75" x14ac:dyDescent="0.25">
      <c r="A23" s="43"/>
      <c r="B23" s="1"/>
      <c r="C23" s="168" t="s">
        <v>37</v>
      </c>
      <c r="D23" s="168"/>
      <c r="E23" s="27" t="e">
        <f>ROUND(E19*E20*E21/E22,3)</f>
        <v>#DIV/0!</v>
      </c>
      <c r="F23" s="23" t="s">
        <v>38</v>
      </c>
      <c r="G23" s="163">
        <f>VLOOKUP(D14,Dati!B3:E11,2,FALSE)</f>
        <v>1692</v>
      </c>
      <c r="H23" s="164"/>
      <c r="I23" s="142" t="e">
        <f>E23*G23/1000000</f>
        <v>#DIV/0!</v>
      </c>
      <c r="J23" s="143"/>
      <c r="K23" s="1"/>
      <c r="L23" s="82" t="e">
        <f>M23/(E23+M23)</f>
        <v>#DIV/0!</v>
      </c>
      <c r="M23" s="27">
        <f>M19*M20*M21/M22</f>
        <v>0</v>
      </c>
      <c r="N23" s="23" t="s">
        <v>38</v>
      </c>
      <c r="O23" s="163">
        <f>IFERROR(VLOOKUP(L14,Dati!B3:E11,2,FALSE),0)</f>
        <v>1433</v>
      </c>
      <c r="P23" s="164"/>
      <c r="Q23" s="142" t="e">
        <f>ROUND(IF(L23&gt;30%,M23*O23/1000000,0),3)</f>
        <v>#DIV/0!</v>
      </c>
      <c r="R23" s="1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</row>
    <row r="24" spans="1:40" s="2" customFormat="1" ht="9" customHeight="1" thickBot="1" x14ac:dyDescent="0.3">
      <c r="A24" s="43"/>
      <c r="B24" s="1"/>
      <c r="C24" s="14"/>
      <c r="D24" s="14"/>
      <c r="E24" s="14"/>
      <c r="F24" s="1"/>
      <c r="G24" s="1"/>
      <c r="H24" s="1"/>
      <c r="I24" s="1"/>
      <c r="J24" s="1"/>
      <c r="K24" s="1"/>
      <c r="L24" s="1"/>
      <c r="M24" s="14"/>
      <c r="N24" s="1"/>
      <c r="O24" s="1"/>
      <c r="P24" s="1"/>
      <c r="Q24" s="1"/>
      <c r="R24" s="1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</row>
    <row r="25" spans="1:40" s="2" customFormat="1" ht="15.75" x14ac:dyDescent="0.25">
      <c r="A25" s="43"/>
      <c r="B25" s="1"/>
      <c r="C25" s="14"/>
      <c r="D25" s="14"/>
      <c r="E25" s="14"/>
      <c r="F25" s="1"/>
      <c r="G25" s="1"/>
      <c r="H25" s="176" t="s">
        <v>39</v>
      </c>
      <c r="I25" s="177"/>
      <c r="J25" s="1"/>
      <c r="K25" s="1"/>
      <c r="L25" s="1"/>
      <c r="M25" s="14"/>
      <c r="N25" s="1"/>
      <c r="O25" s="1"/>
      <c r="P25" s="1"/>
      <c r="Q25" s="160" t="s">
        <v>40</v>
      </c>
      <c r="R25" s="161"/>
      <c r="S25" s="162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</row>
    <row r="26" spans="1:40" ht="54" customHeight="1" x14ac:dyDescent="0.25">
      <c r="B26" s="156" t="s">
        <v>41</v>
      </c>
      <c r="C26" s="156"/>
      <c r="D26" s="156"/>
      <c r="E26" s="156"/>
      <c r="F26" s="156"/>
      <c r="G26" s="156"/>
      <c r="H26" s="166" t="e">
        <f>ROUND(IF(L23&gt;30%,E23+M23,E23),3)</f>
        <v>#DIV/0!</v>
      </c>
      <c r="I26" s="167"/>
      <c r="J26" s="23" t="s">
        <v>38</v>
      </c>
      <c r="L26" s="155" t="s">
        <v>42</v>
      </c>
      <c r="M26" s="156"/>
      <c r="N26" s="156"/>
      <c r="O26" s="156"/>
      <c r="P26" s="156"/>
      <c r="Q26" s="157" t="e">
        <f>H26</f>
        <v>#DIV/0!</v>
      </c>
      <c r="R26" s="158"/>
      <c r="S26" s="159"/>
      <c r="T26" s="41" t="s">
        <v>38</v>
      </c>
      <c r="U26" s="35" t="s">
        <v>43</v>
      </c>
    </row>
    <row r="27" spans="1:40" ht="33" customHeight="1" x14ac:dyDescent="0.25">
      <c r="B27" s="156" t="s">
        <v>44</v>
      </c>
      <c r="C27" s="156"/>
      <c r="D27" s="156"/>
      <c r="E27" s="156"/>
      <c r="F27" s="156"/>
      <c r="G27" s="156"/>
      <c r="H27" s="171" t="e">
        <f>ROUND(H26*1000/I8,1)</f>
        <v>#DIV/0!</v>
      </c>
      <c r="I27" s="172"/>
      <c r="J27" s="23" t="s">
        <v>45</v>
      </c>
      <c r="L27" s="146" t="s">
        <v>46</v>
      </c>
      <c r="M27" s="146"/>
      <c r="N27" s="146"/>
      <c r="O27" s="146"/>
      <c r="P27" s="147"/>
      <c r="Q27" s="149" t="s">
        <v>64</v>
      </c>
      <c r="R27" s="150"/>
      <c r="S27" s="150"/>
      <c r="T27" s="150"/>
      <c r="U27" s="151"/>
    </row>
    <row r="28" spans="1:40" ht="31.5" customHeight="1" x14ac:dyDescent="0.25">
      <c r="B28" s="173" t="s">
        <v>48</v>
      </c>
      <c r="C28" s="156"/>
      <c r="D28" s="156"/>
      <c r="E28" s="156"/>
      <c r="F28" s="156"/>
      <c r="G28" s="156"/>
      <c r="H28" s="174" t="e">
        <f>IF(H27&gt;Dati!K5,"NEATBILST","Atbilst")</f>
        <v>#DIV/0!</v>
      </c>
      <c r="I28" s="175"/>
      <c r="L28" s="13"/>
      <c r="M28" s="148" t="s">
        <v>49</v>
      </c>
      <c r="N28" s="148"/>
      <c r="O28" s="148"/>
      <c r="P28" s="154"/>
      <c r="Q28" s="152">
        <f>IF(Q27=Dati!G6,216,0)</f>
        <v>216</v>
      </c>
      <c r="R28" s="153"/>
      <c r="T28" s="1" t="s">
        <v>50</v>
      </c>
    </row>
    <row r="29" spans="1:40" ht="16.149999999999999" customHeight="1" x14ac:dyDescent="0.25">
      <c r="B29" s="148" t="s">
        <v>51</v>
      </c>
      <c r="C29" s="148"/>
      <c r="D29" s="148"/>
      <c r="E29" s="148"/>
      <c r="F29" s="148"/>
      <c r="G29" s="148"/>
      <c r="H29" s="169" t="e">
        <f>ROUND(I23+Q23,3)</f>
        <v>#DIV/0!</v>
      </c>
      <c r="I29" s="170"/>
      <c r="J29" s="23" t="s">
        <v>52</v>
      </c>
      <c r="L29" s="148" t="s">
        <v>53</v>
      </c>
      <c r="M29" s="148"/>
      <c r="N29" s="148"/>
      <c r="O29" s="148"/>
      <c r="P29" s="148"/>
      <c r="Q29" s="144" t="e">
        <f>Q26*Q28/1000000</f>
        <v>#DIV/0!</v>
      </c>
      <c r="R29" s="145"/>
      <c r="T29" s="1" t="s">
        <v>52</v>
      </c>
    </row>
    <row r="31" spans="1:40" s="42" customFormat="1" x14ac:dyDescent="0.25"/>
    <row r="32" spans="1:40" s="42" customFormat="1" x14ac:dyDescent="0.25"/>
    <row r="33" spans="7:8" s="42" customFormat="1" x14ac:dyDescent="0.25"/>
    <row r="34" spans="7:8" s="42" customFormat="1" x14ac:dyDescent="0.25"/>
    <row r="35" spans="7:8" s="42" customFormat="1" x14ac:dyDescent="0.25">
      <c r="G35" s="42" t="s">
        <v>54</v>
      </c>
      <c r="H35" s="42">
        <f>IF(I8&lt;50, 0, IF(AND(I8&gt;=50, I8&lt;=120), IF(H27&gt;180, 0, IF(AND(H27&gt;=95, H27&lt;=180), 1, 2)), IF(AND(I8&gt;120, I8&lt;=250), IF(H27&gt;150, 0, IF(AND(H27&gt;=90, H27&lt;=150), 1, 2)), IF(H27&gt;125, 0, IF(AND(H27&gt;=80, H27&lt;=125), 1, 2)))))</f>
        <v>0</v>
      </c>
    </row>
    <row r="36" spans="7:8" s="42" customFormat="1" x14ac:dyDescent="0.25"/>
    <row r="37" spans="7:8" s="42" customFormat="1" x14ac:dyDescent="0.25"/>
    <row r="38" spans="7:8" s="42" customFormat="1" x14ac:dyDescent="0.25"/>
    <row r="39" spans="7:8" s="42" customFormat="1" x14ac:dyDescent="0.25"/>
    <row r="40" spans="7:8" s="42" customFormat="1" x14ac:dyDescent="0.25"/>
    <row r="41" spans="7:8" s="42" customFormat="1" x14ac:dyDescent="0.25"/>
    <row r="42" spans="7:8" s="42" customFormat="1" x14ac:dyDescent="0.25"/>
    <row r="43" spans="7:8" s="42" customFormat="1" x14ac:dyDescent="0.25"/>
    <row r="44" spans="7:8" s="42" customFormat="1" x14ac:dyDescent="0.25"/>
    <row r="45" spans="7:8" s="42" customFormat="1" x14ac:dyDescent="0.25"/>
    <row r="46" spans="7:8" s="42" customFormat="1" x14ac:dyDescent="0.25"/>
    <row r="47" spans="7:8" s="42" customFormat="1" x14ac:dyDescent="0.25"/>
    <row r="48" spans="7:8" s="42" customFormat="1" x14ac:dyDescent="0.25"/>
    <row r="49" s="42" customFormat="1" x14ac:dyDescent="0.25"/>
    <row r="50" s="42" customFormat="1" x14ac:dyDescent="0.25"/>
    <row r="51" s="42" customFormat="1" x14ac:dyDescent="0.25"/>
    <row r="52" s="42" customFormat="1" x14ac:dyDescent="0.25"/>
    <row r="53" s="42" customFormat="1" x14ac:dyDescent="0.25"/>
    <row r="54" s="42" customFormat="1" x14ac:dyDescent="0.25"/>
    <row r="55" s="42" customFormat="1" x14ac:dyDescent="0.25"/>
    <row r="56" s="42" customFormat="1" x14ac:dyDescent="0.25"/>
    <row r="57" s="42" customFormat="1" x14ac:dyDescent="0.25"/>
    <row r="58" s="42" customFormat="1" x14ac:dyDescent="0.25"/>
    <row r="59" s="42" customFormat="1" x14ac:dyDescent="0.25"/>
    <row r="60" s="42" customFormat="1" x14ac:dyDescent="0.25"/>
    <row r="61" s="42" customFormat="1" x14ac:dyDescent="0.25"/>
    <row r="62" s="42" customFormat="1" x14ac:dyDescent="0.25"/>
    <row r="63" s="42" customFormat="1" x14ac:dyDescent="0.25"/>
    <row r="64" s="42" customFormat="1" x14ac:dyDescent="0.25"/>
    <row r="65" s="42" customFormat="1" x14ac:dyDescent="0.25"/>
    <row r="66" s="42" customFormat="1" x14ac:dyDescent="0.25"/>
    <row r="67" s="42" customFormat="1" x14ac:dyDescent="0.25"/>
    <row r="68" s="42" customFormat="1" x14ac:dyDescent="0.25"/>
    <row r="69" s="42" customFormat="1" x14ac:dyDescent="0.25"/>
    <row r="70" s="42" customFormat="1" x14ac:dyDescent="0.25"/>
    <row r="71" s="42" customFormat="1" x14ac:dyDescent="0.25"/>
    <row r="72" s="42" customFormat="1" x14ac:dyDescent="0.25"/>
    <row r="73" s="42" customFormat="1" x14ac:dyDescent="0.25"/>
    <row r="74" s="42" customFormat="1" x14ac:dyDescent="0.25"/>
    <row r="75" s="42" customFormat="1" x14ac:dyDescent="0.25"/>
  </sheetData>
  <mergeCells count="74">
    <mergeCell ref="N9:S9"/>
    <mergeCell ref="B21:D21"/>
    <mergeCell ref="B20:D20"/>
    <mergeCell ref="B19:D19"/>
    <mergeCell ref="D14:G14"/>
    <mergeCell ref="D13:G13"/>
    <mergeCell ref="D15:G15"/>
    <mergeCell ref="G18:H18"/>
    <mergeCell ref="G19:H19"/>
    <mergeCell ref="I16:J16"/>
    <mergeCell ref="B13:C13"/>
    <mergeCell ref="B14:C14"/>
    <mergeCell ref="B15:C15"/>
    <mergeCell ref="B16:C18"/>
    <mergeCell ref="G17:H17"/>
    <mergeCell ref="N10:S10"/>
    <mergeCell ref="B22:D22"/>
    <mergeCell ref="H26:I26"/>
    <mergeCell ref="C23:D23"/>
    <mergeCell ref="B26:G26"/>
    <mergeCell ref="B29:G29"/>
    <mergeCell ref="H29:I29"/>
    <mergeCell ref="B27:G27"/>
    <mergeCell ref="H27:I27"/>
    <mergeCell ref="B28:G28"/>
    <mergeCell ref="H28:I28"/>
    <mergeCell ref="H25:I25"/>
    <mergeCell ref="G22:H22"/>
    <mergeCell ref="G23:H23"/>
    <mergeCell ref="I19:J19"/>
    <mergeCell ref="I22:J22"/>
    <mergeCell ref="I23:J23"/>
    <mergeCell ref="Q29:R29"/>
    <mergeCell ref="L27:P27"/>
    <mergeCell ref="L29:P29"/>
    <mergeCell ref="Q27:U27"/>
    <mergeCell ref="Q28:R28"/>
    <mergeCell ref="M28:P28"/>
    <mergeCell ref="L26:P26"/>
    <mergeCell ref="Q26:S26"/>
    <mergeCell ref="Q25:S25"/>
    <mergeCell ref="O22:P22"/>
    <mergeCell ref="Q22:R22"/>
    <mergeCell ref="O23:P23"/>
    <mergeCell ref="Q23:R23"/>
    <mergeCell ref="B2:E5"/>
    <mergeCell ref="F2:K2"/>
    <mergeCell ref="F5:K5"/>
    <mergeCell ref="M5:U5"/>
    <mergeCell ref="C11:R11"/>
    <mergeCell ref="C7:E7"/>
    <mergeCell ref="F4:K4"/>
    <mergeCell ref="M2:U4"/>
    <mergeCell ref="K10:L10"/>
    <mergeCell ref="F7:J7"/>
    <mergeCell ref="K8:L8"/>
    <mergeCell ref="M7:S7"/>
    <mergeCell ref="C8:H8"/>
    <mergeCell ref="C9:H9"/>
    <mergeCell ref="C10:H10"/>
    <mergeCell ref="F3:K3"/>
    <mergeCell ref="T15:T16"/>
    <mergeCell ref="P12:S14"/>
    <mergeCell ref="T12:T13"/>
    <mergeCell ref="D12:G12"/>
    <mergeCell ref="H15:J15"/>
    <mergeCell ref="L13:O13"/>
    <mergeCell ref="L14:O14"/>
    <mergeCell ref="L15:O15"/>
    <mergeCell ref="L12:O12"/>
    <mergeCell ref="G16:H16"/>
    <mergeCell ref="P15:S18"/>
    <mergeCell ref="I17:J17"/>
    <mergeCell ref="I18:J18"/>
  </mergeCells>
  <phoneticPr fontId="17" type="noConversion"/>
  <conditionalFormatting sqref="C11:C12 K13:K22">
    <cfRule type="expression" dxfId="15" priority="33">
      <formula>#REF!=0</formula>
    </cfRule>
  </conditionalFormatting>
  <conditionalFormatting sqref="H28:I28">
    <cfRule type="expression" dxfId="14" priority="1">
      <formula>$H$28="NEATBILST"</formula>
    </cfRule>
    <cfRule type="expression" dxfId="13" priority="2">
      <formula>$H$28="Atbilst"</formula>
    </cfRule>
  </conditionalFormatting>
  <conditionalFormatting sqref="K14:K22 D13:D18 L13:L18">
    <cfRule type="expression" dxfId="12" priority="34">
      <formula>#REF!=1</formula>
    </cfRule>
  </conditionalFormatting>
  <conditionalFormatting sqref="T15">
    <cfRule type="expression" dxfId="11" priority="35">
      <formula>$T$15&lt;80</formula>
    </cfRule>
  </conditionalFormatting>
  <dataValidations count="2">
    <dataValidation allowBlank="1" showErrorMessage="1" errorTitle="KĻŪDA" error="Tikai veseli skaitļi robežās no 0 līdz 10000000" sqref="C11:C12 K13" xr:uid="{00000000-0002-0000-0000-000000000000}"/>
    <dataValidation type="decimal" allowBlank="1" showErrorMessage="1" errorTitle="KĻŪDA" error="Tikai skaitļi no 0 līdz 1" sqref="K14:K22" xr:uid="{00000000-0002-0000-0000-000002000000}">
      <formula1>0.1</formula1>
      <formula2>1</formula2>
    </dataValidation>
  </dataValidations>
  <printOptions horizontalCentered="1"/>
  <pageMargins left="0.11811023622047245" right="0.11811023622047245" top="0.55118110236220474" bottom="0.55118110236220474" header="0.31496062992125984" footer="0.31496062992125984"/>
  <pageSetup paperSize="9" scale="53" orientation="portrait" horizontalDpi="1200" verticalDpi="1200" r:id="rId1"/>
  <headerFooter>
    <oddFooter>&amp;R&amp;A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3000000}">
          <x14:formula1>
            <xm:f>Dati!$B$3:$B$11</xm:f>
          </x14:formula1>
          <xm:sqref>D14 L14</xm:sqref>
        </x14:dataValidation>
        <x14:dataValidation type="list" allowBlank="1" showInputMessage="1" showErrorMessage="1" xr:uid="{66162AB3-2032-4BBD-897F-7F15735B7DE8}">
          <x14:formula1>
            <xm:f>Dati!$B$14:$B$26</xm:f>
          </x14:formula1>
          <xm:sqref>D13 L13</xm:sqref>
        </x14:dataValidation>
        <x14:dataValidation type="list" allowBlank="1" showInputMessage="1" showErrorMessage="1" xr:uid="{1CA8D253-5B93-40D1-AF93-09C7659EC919}">
          <x14:formula1>
            <xm:f>Dati!$F$14:$F$17</xm:f>
          </x14:formula1>
          <xm:sqref>D15 L15</xm:sqref>
        </x14:dataValidation>
        <x14:dataValidation type="list" allowBlank="1" showInputMessage="1" showErrorMessage="1" xr:uid="{126B7F56-6B69-4D0B-A332-968202B45394}">
          <x14:formula1>
            <xm:f>Dati!$G$6:$G$9</xm:f>
          </x14:formula1>
          <xm:sqref>Q27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416DE-4C0C-4198-8467-049312212C1A}">
  <sheetPr>
    <tabColor rgb="FF92D050"/>
    <pageSetUpPr fitToPage="1"/>
  </sheetPr>
  <dimension ref="A1:AO75"/>
  <sheetViews>
    <sheetView showGridLines="0" topLeftCell="B1" zoomScale="80" zoomScaleNormal="80" zoomScaleSheetLayoutView="90" workbookViewId="0">
      <selection activeCell="M15" sqref="M15"/>
    </sheetView>
  </sheetViews>
  <sheetFormatPr defaultColWidth="8.85546875" defaultRowHeight="15" x14ac:dyDescent="0.25"/>
  <cols>
    <col min="1" max="1" width="1.28515625" style="42" customWidth="1"/>
    <col min="2" max="2" width="23.5703125" style="1" customWidth="1"/>
    <col min="3" max="3" width="14.85546875" style="1" customWidth="1"/>
    <col min="4" max="4" width="15.5703125" style="1" customWidth="1"/>
    <col min="5" max="5" width="13.7109375" style="1" customWidth="1"/>
    <col min="6" max="6" width="40.42578125" style="1" customWidth="1"/>
    <col min="7" max="7" width="13" style="1" customWidth="1"/>
    <col min="8" max="8" width="15.28515625" style="1" customWidth="1"/>
    <col min="9" max="9" width="9.5703125" style="1" customWidth="1"/>
    <col min="10" max="10" width="14.42578125" style="1" customWidth="1"/>
    <col min="11" max="11" width="14" style="1" customWidth="1"/>
    <col min="12" max="12" width="4.85546875" style="1" customWidth="1"/>
    <col min="13" max="13" width="17.5703125" style="1" customWidth="1"/>
    <col min="14" max="14" width="13.7109375" style="1" customWidth="1"/>
    <col min="15" max="15" width="14.7109375" style="1" customWidth="1"/>
    <col min="16" max="16" width="13" style="1" customWidth="1"/>
    <col min="17" max="17" width="22" style="1" customWidth="1"/>
    <col min="18" max="19" width="9.5703125" style="1" customWidth="1"/>
    <col min="20" max="20" width="5.42578125" style="1" customWidth="1"/>
    <col min="21" max="21" width="10.140625" style="1" customWidth="1"/>
    <col min="22" max="22" width="15" style="1" customWidth="1"/>
    <col min="23" max="23" width="13.42578125" style="42" customWidth="1"/>
    <col min="24" max="41" width="8.85546875" style="42"/>
    <col min="42" max="16384" width="8.85546875" style="1"/>
  </cols>
  <sheetData>
    <row r="1" spans="1:41" s="42" customFormat="1" ht="4.1500000000000004" customHeight="1" x14ac:dyDescent="0.25">
      <c r="B1" s="45"/>
      <c r="C1" s="46"/>
      <c r="D1" s="45"/>
      <c r="E1" s="45"/>
      <c r="F1" s="45"/>
      <c r="G1" s="45"/>
      <c r="H1" s="45"/>
      <c r="I1" s="45"/>
      <c r="J1" s="45"/>
      <c r="K1" s="45"/>
      <c r="M1" s="45"/>
      <c r="N1" s="45"/>
      <c r="O1" s="45"/>
      <c r="P1" s="45"/>
      <c r="Q1" s="45"/>
      <c r="R1" s="45"/>
      <c r="S1" s="45"/>
    </row>
    <row r="2" spans="1:41" ht="33" x14ac:dyDescent="0.25">
      <c r="B2" s="107" t="s">
        <v>0</v>
      </c>
      <c r="C2" s="108"/>
      <c r="D2" s="108"/>
      <c r="E2" s="108"/>
      <c r="F2" s="52"/>
      <c r="G2" s="113" t="s">
        <v>1</v>
      </c>
      <c r="H2" s="113"/>
      <c r="I2" s="113"/>
      <c r="J2" s="113"/>
      <c r="K2" s="113"/>
      <c r="L2" s="114"/>
      <c r="M2" s="39"/>
      <c r="N2" s="125" t="s">
        <v>2</v>
      </c>
      <c r="O2" s="126"/>
      <c r="P2" s="126"/>
      <c r="Q2" s="126"/>
      <c r="R2" s="126"/>
      <c r="S2" s="126"/>
      <c r="T2" s="126"/>
      <c r="U2" s="126"/>
      <c r="V2" s="127"/>
    </row>
    <row r="3" spans="1:41" s="2" customFormat="1" ht="15.6" customHeight="1" x14ac:dyDescent="0.25">
      <c r="A3" s="43"/>
      <c r="B3" s="109"/>
      <c r="C3" s="110"/>
      <c r="D3" s="110"/>
      <c r="E3" s="110"/>
      <c r="F3" s="53"/>
      <c r="G3" s="139" t="s">
        <v>3</v>
      </c>
      <c r="H3" s="139"/>
      <c r="I3" s="139"/>
      <c r="J3" s="139"/>
      <c r="K3" s="139"/>
      <c r="L3" s="140"/>
      <c r="M3" s="39"/>
      <c r="N3" s="128"/>
      <c r="O3" s="129"/>
      <c r="P3" s="129"/>
      <c r="Q3" s="129"/>
      <c r="R3" s="129"/>
      <c r="S3" s="129"/>
      <c r="T3" s="129"/>
      <c r="U3" s="129"/>
      <c r="V3" s="130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</row>
    <row r="4" spans="1:41" s="2" customFormat="1" ht="15.6" customHeight="1" x14ac:dyDescent="0.25">
      <c r="A4" s="43"/>
      <c r="B4" s="109"/>
      <c r="C4" s="110"/>
      <c r="D4" s="110"/>
      <c r="E4" s="110"/>
      <c r="F4" s="53"/>
      <c r="G4" s="123" t="s">
        <v>4</v>
      </c>
      <c r="H4" s="123"/>
      <c r="I4" s="123"/>
      <c r="J4" s="123"/>
      <c r="K4" s="123"/>
      <c r="L4" s="124"/>
      <c r="M4" s="39"/>
      <c r="N4" s="131"/>
      <c r="O4" s="132"/>
      <c r="P4" s="132"/>
      <c r="Q4" s="132"/>
      <c r="R4" s="132"/>
      <c r="S4" s="132"/>
      <c r="T4" s="132"/>
      <c r="U4" s="132"/>
      <c r="V4" s="13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</row>
    <row r="5" spans="1:41" s="2" customFormat="1" ht="15.6" customHeight="1" x14ac:dyDescent="0.3">
      <c r="A5" s="43"/>
      <c r="B5" s="111"/>
      <c r="C5" s="112"/>
      <c r="D5" s="112"/>
      <c r="E5" s="112"/>
      <c r="F5" s="54"/>
      <c r="G5" s="115" t="s">
        <v>5</v>
      </c>
      <c r="H5" s="115"/>
      <c r="I5" s="115"/>
      <c r="J5" s="115"/>
      <c r="K5" s="115"/>
      <c r="L5" s="116"/>
      <c r="M5" s="64"/>
      <c r="N5" s="193" t="e">
        <f>ROUND(I29-R29,3)</f>
        <v>#DIV/0!</v>
      </c>
      <c r="O5" s="194"/>
      <c r="P5" s="194"/>
      <c r="Q5" s="194"/>
      <c r="R5" s="194"/>
      <c r="S5" s="194"/>
      <c r="T5" s="194"/>
      <c r="U5" s="194"/>
      <c r="V5" s="191" t="e">
        <f>IF(N5=X5,N5,_xlfn.CONCAT(X5," MAINĪTS, kur starpība ", X5-N5))</f>
        <v>#DIV/0!</v>
      </c>
      <c r="W5" s="191"/>
      <c r="X5" s="87" t="e" cm="1">
        <f t="array" ref="X5:AF5">'Projekta dati'!M5:U5</f>
        <v>#DIV/0!</v>
      </c>
      <c r="Y5" s="69">
        <v>0</v>
      </c>
      <c r="Z5" s="69">
        <v>0</v>
      </c>
      <c r="AA5" s="69">
        <v>0</v>
      </c>
      <c r="AB5" s="69">
        <v>0</v>
      </c>
      <c r="AC5" s="69">
        <v>0</v>
      </c>
      <c r="AD5" s="69">
        <v>0</v>
      </c>
      <c r="AE5" s="69">
        <v>0</v>
      </c>
      <c r="AF5" s="43">
        <v>0</v>
      </c>
      <c r="AG5" s="43"/>
      <c r="AH5" s="43"/>
      <c r="AI5" s="43"/>
      <c r="AJ5" s="43"/>
      <c r="AK5" s="43"/>
      <c r="AL5" s="43"/>
      <c r="AM5" s="43"/>
      <c r="AN5" s="43"/>
      <c r="AO5" s="43"/>
    </row>
    <row r="6" spans="1:41" s="3" customFormat="1" ht="5.45" customHeight="1" thickBot="1" x14ac:dyDescent="0.3">
      <c r="A6" s="44"/>
      <c r="C6" s="4"/>
      <c r="D6" s="4"/>
      <c r="E6" s="4"/>
      <c r="F6" s="4"/>
      <c r="G6" s="4"/>
      <c r="H6" s="4"/>
      <c r="I6" s="4"/>
      <c r="J6" s="4"/>
      <c r="K6" s="4"/>
      <c r="L6" s="24"/>
      <c r="M6" s="4"/>
      <c r="N6" s="24"/>
      <c r="O6" s="24"/>
      <c r="P6" s="24"/>
      <c r="Q6" s="24"/>
      <c r="R6" s="24"/>
      <c r="S6" s="24"/>
      <c r="V6"/>
      <c r="W6"/>
      <c r="X6" s="90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</row>
    <row r="7" spans="1:41" ht="16.5" thickBot="1" x14ac:dyDescent="0.3">
      <c r="C7" s="121" t="s">
        <v>6</v>
      </c>
      <c r="D7" s="121"/>
      <c r="E7" s="122"/>
      <c r="F7" s="55"/>
      <c r="G7" s="135" t="e" cm="1" vm="1">
        <f t="array" aca="1" ref="G7" ca="1">'Projekta dati'!F7:J7</f>
        <v>#VALUE!</v>
      </c>
      <c r="H7" s="135"/>
      <c r="I7" s="135"/>
      <c r="J7" s="135"/>
      <c r="K7" s="135"/>
      <c r="L7" s="28"/>
      <c r="M7" s="23"/>
      <c r="N7" s="136" t="s">
        <v>7</v>
      </c>
      <c r="O7" s="136"/>
      <c r="P7" s="136"/>
      <c r="Q7" s="136"/>
      <c r="R7" s="136"/>
      <c r="S7" s="136"/>
      <c r="T7" s="137"/>
      <c r="U7" s="48" t="e">
        <f>+Dati!G17</f>
        <v>#DIV/0!</v>
      </c>
      <c r="V7" s="191" t="e">
        <f>IF(U7='Projekta dati'!T7,U7,_xlfn.CONCAT('Projekta dati'!T7," MAINĪTS, kur starpība",'Projekta dati'!T7-U7))</f>
        <v>#DIV/0!</v>
      </c>
      <c r="W7" s="191"/>
      <c r="X7" s="86"/>
      <c r="Y7" s="1" t="s">
        <v>8</v>
      </c>
    </row>
    <row r="8" spans="1:41" ht="15.75" customHeight="1" x14ac:dyDescent="0.25">
      <c r="B8" s="23"/>
      <c r="C8" s="121" t="s">
        <v>9</v>
      </c>
      <c r="D8" s="121"/>
      <c r="E8" s="121"/>
      <c r="F8" s="121"/>
      <c r="G8" s="121"/>
      <c r="H8" s="121"/>
      <c r="I8" s="122"/>
      <c r="J8" s="50">
        <f>'Projekta dati'!I8</f>
        <v>0</v>
      </c>
      <c r="K8" s="1" t="s">
        <v>10</v>
      </c>
      <c r="L8" s="134" t="str">
        <f>IF(J8&lt;50,"Neatbilst","")</f>
        <v>Neatbilst</v>
      </c>
      <c r="M8" s="134"/>
      <c r="V8"/>
      <c r="W8"/>
      <c r="X8" s="86"/>
      <c r="Y8" s="1"/>
    </row>
    <row r="9" spans="1:41" ht="14.45" customHeight="1" x14ac:dyDescent="0.25">
      <c r="B9" s="23"/>
      <c r="C9" s="136" t="s">
        <v>11</v>
      </c>
      <c r="D9" s="136"/>
      <c r="E9" s="136"/>
      <c r="F9" s="136"/>
      <c r="G9" s="136"/>
      <c r="H9" s="136"/>
      <c r="I9" s="138"/>
      <c r="J9" s="50">
        <f>'Projekta dati'!I9</f>
        <v>0</v>
      </c>
      <c r="K9" s="1" t="s">
        <v>12</v>
      </c>
      <c r="L9" s="40"/>
      <c r="M9" s="41"/>
      <c r="N9" s="23"/>
      <c r="O9" s="178" t="s">
        <v>13</v>
      </c>
      <c r="P9" s="178"/>
      <c r="Q9" s="178"/>
      <c r="R9" s="178"/>
      <c r="S9" s="178"/>
      <c r="T9" s="179"/>
      <c r="U9" s="47">
        <f>'Projekta dati'!T9</f>
        <v>0</v>
      </c>
      <c r="V9"/>
      <c r="W9"/>
      <c r="X9" s="86"/>
      <c r="Y9" s="1" t="s">
        <v>8</v>
      </c>
    </row>
    <row r="10" spans="1:41" ht="14.45" customHeight="1" x14ac:dyDescent="0.25">
      <c r="B10" s="23"/>
      <c r="C10" s="136" t="s">
        <v>14</v>
      </c>
      <c r="D10" s="136"/>
      <c r="E10" s="136"/>
      <c r="F10" s="136"/>
      <c r="G10" s="136"/>
      <c r="H10" s="136"/>
      <c r="I10" s="138"/>
      <c r="J10" s="47">
        <f>'Projekta dati'!I10</f>
        <v>0</v>
      </c>
      <c r="K10" s="1" t="s">
        <v>8</v>
      </c>
      <c r="L10" s="134" t="str">
        <f>IF(J10&gt;50,"Neatbilst","")</f>
        <v/>
      </c>
      <c r="M10" s="134"/>
      <c r="O10" s="178" t="s">
        <v>15</v>
      </c>
      <c r="P10" s="178"/>
      <c r="Q10" s="178"/>
      <c r="R10" s="178"/>
      <c r="S10" s="178"/>
      <c r="T10" s="179"/>
      <c r="U10" s="47">
        <f>'Projekta dati'!T10</f>
        <v>0</v>
      </c>
      <c r="V10"/>
      <c r="W10"/>
      <c r="X10" s="86"/>
      <c r="Y10" s="1" t="s">
        <v>16</v>
      </c>
    </row>
    <row r="11" spans="1:41" s="5" customFormat="1" ht="4.1500000000000004" customHeight="1" x14ac:dyDescent="0.25">
      <c r="A11" s="42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V11"/>
      <c r="W11"/>
      <c r="X11" s="86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</row>
    <row r="12" spans="1:41" s="5" customFormat="1" ht="13.9" customHeight="1" x14ac:dyDescent="0.25">
      <c r="A12" s="42"/>
      <c r="C12" s="7"/>
      <c r="D12" s="98" t="s">
        <v>17</v>
      </c>
      <c r="E12" s="192"/>
      <c r="F12" s="192"/>
      <c r="G12" s="192"/>
      <c r="H12" s="192"/>
      <c r="I12" s="33"/>
      <c r="J12" s="33"/>
      <c r="K12" s="33"/>
      <c r="L12" s="7"/>
      <c r="M12" s="98" t="s">
        <v>18</v>
      </c>
      <c r="N12" s="192"/>
      <c r="O12" s="192"/>
      <c r="P12" s="192"/>
      <c r="Q12" s="94" t="s">
        <v>19</v>
      </c>
      <c r="R12" s="95"/>
      <c r="S12" s="95"/>
      <c r="T12" s="95"/>
      <c r="U12" s="96" t="e">
        <f>ROUND(I26/3*1000,)</f>
        <v>#DIV/0!</v>
      </c>
      <c r="V12"/>
      <c r="W12"/>
      <c r="X12" s="86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</row>
    <row r="13" spans="1:41" s="2" customFormat="1" ht="15.6" customHeight="1" x14ac:dyDescent="0.25">
      <c r="A13" s="43"/>
      <c r="B13" s="165" t="s">
        <v>20</v>
      </c>
      <c r="C13" s="182"/>
      <c r="D13" s="89" t="str" cm="1">
        <f t="array" ref="D13:G13">'Projekta dati'!D13:G13</f>
        <v>Koksnes granulas</v>
      </c>
      <c r="E13" s="85">
        <v>0</v>
      </c>
      <c r="F13" s="72">
        <v>0</v>
      </c>
      <c r="G13" s="72">
        <v>0</v>
      </c>
      <c r="H13" s="72"/>
      <c r="I13" s="32"/>
      <c r="J13" s="32"/>
      <c r="K13" s="32"/>
      <c r="L13" s="26"/>
      <c r="M13" s="59" t="str" cm="1">
        <f t="array" ref="M13:P13">'Projekta dati'!L13:O13</f>
        <v>Ogles</v>
      </c>
      <c r="N13" s="85">
        <v>0</v>
      </c>
      <c r="O13" s="85">
        <v>0</v>
      </c>
      <c r="P13" s="85">
        <v>0</v>
      </c>
      <c r="Q13" s="95"/>
      <c r="R13" s="95"/>
      <c r="S13" s="95"/>
      <c r="T13" s="95"/>
      <c r="U13" s="97"/>
      <c r="V13" s="191" t="e">
        <f>IF(U12=X13,U12,_xlfn.CONCAT(X13,"MAINĪTS, kur starpība",X13-U12))</f>
        <v>#DIV/0!</v>
      </c>
      <c r="W13" s="191"/>
      <c r="X13" s="87" cm="1">
        <f t="array" ref="X13:X14">ROUND('Projekta dati'!T12:T13,)</f>
        <v>0</v>
      </c>
      <c r="Y13" s="1" t="s">
        <v>16</v>
      </c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</row>
    <row r="14" spans="1:41" s="2" customFormat="1" ht="31.15" customHeight="1" x14ac:dyDescent="0.25">
      <c r="A14" s="43"/>
      <c r="B14" s="183" t="s">
        <v>23</v>
      </c>
      <c r="C14" s="184"/>
      <c r="D14" s="89" t="str" cm="1">
        <f t="array" ref="D14:G14">'Projekta dati'!D14:G14</f>
        <v>Koksnes biomasas apkures katls (granulas)</v>
      </c>
      <c r="E14" s="85">
        <v>0</v>
      </c>
      <c r="F14" s="72">
        <v>0</v>
      </c>
      <c r="G14" s="72">
        <v>0</v>
      </c>
      <c r="H14" s="72"/>
      <c r="I14" s="32"/>
      <c r="J14" s="32"/>
      <c r="K14" s="32"/>
      <c r="L14" s="25"/>
      <c r="M14" s="59" t="str" cm="1">
        <f t="array" ref="M14:P14">'Projekta dati'!L14:O14</f>
        <v>Ogles izmantojošās apkures iekārtas</v>
      </c>
      <c r="N14" s="85">
        <v>0</v>
      </c>
      <c r="O14" s="85">
        <v>0</v>
      </c>
      <c r="P14" s="85">
        <v>0</v>
      </c>
      <c r="Q14" s="95"/>
      <c r="R14" s="95"/>
      <c r="S14" s="95"/>
      <c r="T14" s="95"/>
      <c r="V14"/>
      <c r="W14"/>
      <c r="X14" s="87">
        <v>0</v>
      </c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</row>
    <row r="15" spans="1:41" s="2" customFormat="1" ht="15.75" customHeight="1" x14ac:dyDescent="0.25">
      <c r="A15" s="43"/>
      <c r="B15" s="165" t="s">
        <v>26</v>
      </c>
      <c r="C15" s="182"/>
      <c r="D15" s="89" t="str" cm="1">
        <f t="array" ref="D15:G15">'Projekta dati'!D15:G15</f>
        <v>cieš.m3</v>
      </c>
      <c r="E15" s="85">
        <v>0</v>
      </c>
      <c r="F15" s="72">
        <v>0</v>
      </c>
      <c r="G15" s="72">
        <v>0</v>
      </c>
      <c r="H15" s="72"/>
      <c r="I15" s="100"/>
      <c r="J15" s="100"/>
      <c r="K15" s="100"/>
      <c r="L15" s="25"/>
      <c r="M15" s="59" t="str" cm="1">
        <f t="array" ref="M15:P15">'Projekta dati'!L15:O15</f>
        <v>ber.m3</v>
      </c>
      <c r="N15" s="85">
        <v>0</v>
      </c>
      <c r="O15" s="85">
        <v>0</v>
      </c>
      <c r="P15" s="85">
        <v>0</v>
      </c>
      <c r="Q15" s="105" t="s">
        <v>28</v>
      </c>
      <c r="R15" s="106"/>
      <c r="S15" s="106"/>
      <c r="T15" s="106"/>
      <c r="U15" s="92" t="e">
        <f>ROUND(($U10+U12)/($U9*900)*100,2)</f>
        <v>#DIV/0!</v>
      </c>
      <c r="V15"/>
      <c r="W15"/>
      <c r="X15" s="87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</row>
    <row r="16" spans="1:41" s="2" customFormat="1" ht="15.6" customHeight="1" x14ac:dyDescent="0.25">
      <c r="A16" s="43"/>
      <c r="B16" s="183" t="s">
        <v>29</v>
      </c>
      <c r="C16" s="185"/>
      <c r="D16" s="22">
        <v>2020</v>
      </c>
      <c r="E16" s="60">
        <f>'Projekta dati'!E16</f>
        <v>0</v>
      </c>
      <c r="F16" s="71"/>
      <c r="G16" s="29" t="str">
        <f>D15</f>
        <v>cieš.m3</v>
      </c>
      <c r="H16" s="104"/>
      <c r="I16" s="104"/>
      <c r="J16" s="104"/>
      <c r="K16" s="104"/>
      <c r="L16" s="25"/>
      <c r="M16" s="22">
        <v>2020</v>
      </c>
      <c r="N16" s="37">
        <f>'Projekta dati'!M16</f>
        <v>0</v>
      </c>
      <c r="O16" s="29" t="str">
        <f>M15</f>
        <v>ber.m3</v>
      </c>
      <c r="P16" s="20"/>
      <c r="Q16" s="106"/>
      <c r="R16" s="106"/>
      <c r="S16" s="106"/>
      <c r="T16" s="106"/>
      <c r="U16" s="93"/>
      <c r="V16" s="191" t="e">
        <f t="shared" ref="V16" si="0">IF(U15=X16,U15,_xlfn.CONCAT(X16,"MAINĪTS, kur starpība",X16-U15))</f>
        <v>#DIV/0!</v>
      </c>
      <c r="W16" s="191"/>
      <c r="X16" s="91" t="e" cm="1">
        <f t="array" ref="X16:X17">ROUND('Projekta dati'!T15:T16,2)</f>
        <v>#DIV/0!</v>
      </c>
      <c r="Y16" s="5" t="s">
        <v>30</v>
      </c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</row>
    <row r="17" spans="1:41" s="2" customFormat="1" ht="15.75" x14ac:dyDescent="0.25">
      <c r="A17" s="43"/>
      <c r="B17" s="183"/>
      <c r="C17" s="185"/>
      <c r="D17" s="21">
        <v>2021</v>
      </c>
      <c r="E17" s="51">
        <f>'Projekta dati'!E17</f>
        <v>0</v>
      </c>
      <c r="F17" s="71"/>
      <c r="G17" s="29" t="str">
        <f>D15</f>
        <v>cieš.m3</v>
      </c>
      <c r="H17" s="104"/>
      <c r="I17" s="104"/>
      <c r="J17" s="104"/>
      <c r="K17" s="104"/>
      <c r="L17" s="25"/>
      <c r="M17" s="21">
        <v>2021</v>
      </c>
      <c r="N17" s="37">
        <f>'Projekta dati'!M17</f>
        <v>0</v>
      </c>
      <c r="O17" s="29" t="str">
        <f>M15</f>
        <v>ber.m3</v>
      </c>
      <c r="P17" s="20"/>
      <c r="Q17" s="106"/>
      <c r="R17" s="106"/>
      <c r="S17" s="106"/>
      <c r="T17" s="106"/>
      <c r="X17" s="87">
        <v>0</v>
      </c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</row>
    <row r="18" spans="1:41" s="2" customFormat="1" ht="15.75" x14ac:dyDescent="0.25">
      <c r="A18" s="43"/>
      <c r="B18" s="183"/>
      <c r="C18" s="185"/>
      <c r="D18" s="21">
        <v>2022</v>
      </c>
      <c r="E18" s="51">
        <f>'Projekta dati'!E18</f>
        <v>0</v>
      </c>
      <c r="F18" s="71"/>
      <c r="G18" s="29" t="str">
        <f>D15</f>
        <v>cieš.m3</v>
      </c>
      <c r="H18" s="104"/>
      <c r="I18" s="104"/>
      <c r="J18" s="104"/>
      <c r="K18" s="104"/>
      <c r="L18" s="25"/>
      <c r="M18" s="21">
        <v>2022</v>
      </c>
      <c r="N18" s="37">
        <f>'Projekta dati'!M18</f>
        <v>0</v>
      </c>
      <c r="O18" s="29" t="str">
        <f>M15</f>
        <v>ber.m3</v>
      </c>
      <c r="P18" s="20"/>
      <c r="Q18" s="106"/>
      <c r="R18" s="106"/>
      <c r="S18" s="106"/>
      <c r="T18" s="106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</row>
    <row r="19" spans="1:41" s="2" customFormat="1" ht="56.1" customHeight="1" x14ac:dyDescent="0.25">
      <c r="A19" s="43"/>
      <c r="B19" s="165" t="s">
        <v>31</v>
      </c>
      <c r="C19" s="165"/>
      <c r="D19" s="165"/>
      <c r="E19" s="38">
        <f>AVERAGE(E16:E18)</f>
        <v>0</v>
      </c>
      <c r="F19" s="73" t="e">
        <f>IF(E19='Projekta dati'!E19,'Projekta dati (2)'!E19,_xlfn.CONCAT('Projekta dati'!E19," MAINĪTS, kur starpība ",'Projekta dati'!E19-E19))</f>
        <v>#DIV/0!</v>
      </c>
      <c r="G19" s="29" t="str">
        <f>D15</f>
        <v>cieš.m3</v>
      </c>
      <c r="H19"/>
      <c r="I19"/>
      <c r="J19"/>
      <c r="K19"/>
      <c r="L19" s="25"/>
      <c r="M19" s="75">
        <f>IF((IFERROR(AVERAGE(N16:N18),0))='Projekta dati'!M19,IFERROR(AVERAGE(N16:N18),0),_xlfn.CONCAT('Projekta dati'!M19," MAINĪTS, kur starpība ",'Projekta dati'!M19-N19))</f>
        <v>0</v>
      </c>
      <c r="N19" s="38">
        <f>IFERROR(AVERAGE(N16:N18),0)</f>
        <v>0</v>
      </c>
      <c r="O19" s="29" t="str">
        <f>M15</f>
        <v>ber.m3</v>
      </c>
      <c r="Q19" s="20"/>
      <c r="R19" s="20"/>
      <c r="S19" s="20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</row>
    <row r="20" spans="1:41" s="2" customFormat="1" ht="58.5" customHeight="1" x14ac:dyDescent="0.25">
      <c r="A20" s="43"/>
      <c r="B20" s="180" t="s">
        <v>32</v>
      </c>
      <c r="C20" s="180"/>
      <c r="D20" s="180"/>
      <c r="E20" s="21">
        <f>VLOOKUP('Projekta dati (2)'!D13,Dati!B14:D26,2,FALSE)</f>
        <v>4.8730000000000002</v>
      </c>
      <c r="F20" s="74">
        <f>IF(E20='Projekta dati'!E20,'Projekta dati'!E20,_xlfn.CONCAT('Projekta dati'!E20," MAINĪTS, kur starpība ",'Projekta dati'!E20-E20))</f>
        <v>4.8730000000000002</v>
      </c>
      <c r="G20" s="70" t="str">
        <f>VLOOKUP(D15,Dati!D27:E29,2,FALSE)</f>
        <v>MWh/cieš.m3</v>
      </c>
      <c r="H20" s="81" cm="1">
        <f t="array" ref="H20:I20">'Projekta dati'!G23:H23</f>
        <v>1692</v>
      </c>
      <c r="I20" s="79">
        <v>0</v>
      </c>
      <c r="J20" s="78" t="e" cm="1">
        <f t="array" ref="J20:K20">ROUND('Projekta dati'!I23:J23,3)</f>
        <v>#DIV/0!</v>
      </c>
      <c r="K20" s="79">
        <v>0</v>
      </c>
      <c r="L20" s="25"/>
      <c r="M20" s="75">
        <f>IF('Projekta dati'!M20=N20,N20,_xlfn.CONCAT('Projekta dati'!M20," MAINĪTS, kur starpība ",N20-'Projekta dati'!M20))</f>
        <v>6.6369999999999996</v>
      </c>
      <c r="N20" s="21">
        <f>IFERROR(VLOOKUP('Projekta dati (2)'!M13,Dati!B14:D26,2,FALSE),0)</f>
        <v>6.6369999999999996</v>
      </c>
      <c r="O20" s="32" t="str">
        <f>VLOOKUP(M15,Dati!D27:E29,2,FALSE)</f>
        <v>MWh/ber.m3</v>
      </c>
      <c r="P20" s="32"/>
      <c r="Q20" s="20"/>
      <c r="R20" s="20"/>
      <c r="S20" s="20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</row>
    <row r="21" spans="1:41" s="2" customFormat="1" ht="37.5" customHeight="1" x14ac:dyDescent="0.25">
      <c r="A21" s="43"/>
      <c r="B21" s="180" t="s">
        <v>33</v>
      </c>
      <c r="C21" s="180"/>
      <c r="D21" s="180"/>
      <c r="E21" s="21">
        <f>VLOOKUP(D14,Dati!B3:E11,4,FALSE)</f>
        <v>0.85</v>
      </c>
      <c r="F21" s="75">
        <f>IF(VLOOKUP(D14,Dati!B3:E11,4,FALSE)='Projekta dati'!E21,VLOOKUP(D14,Dati!B3:E11,4,FALSE),_xlfn.CONCAT('Projekta dati (2)'!E21," MAINĪTS, kur starpība ", 'Projekta dati'!E21-'Projekta dati (2)'!E21))</f>
        <v>0.85</v>
      </c>
      <c r="G21" s="8"/>
      <c r="H21" s="77">
        <f>IF(H23=H20,H23,_xlfn.CONCAT(H20," MAINĪTS, kur starpība ",H23-H20))</f>
        <v>1692</v>
      </c>
      <c r="I21" s="79"/>
      <c r="J21" s="77" t="e">
        <f>IF(J20=J23,J23,_xlfn.CONCAT(J20,"MAINĪTS, kur starpība ",J20-J23))</f>
        <v>#DIV/0!</v>
      </c>
      <c r="K21" s="79"/>
      <c r="L21" s="25"/>
      <c r="M21" s="75">
        <f>IF('Projekta dati'!M21=N21,N21,_xlfn.CONCAT('Projekta dati'!M21," MAINĪTS, kur starpība ",'Projekta dati'!M21-N21))</f>
        <v>0.65</v>
      </c>
      <c r="N21" s="21">
        <f>IFERROR(VLOOKUP(M14,Dati!B3:E11,4,FALSE),0)</f>
        <v>0.65</v>
      </c>
      <c r="O21" s="8"/>
      <c r="P21" s="72" cm="1">
        <f t="array" ref="P21:Q21">'Projekta dati'!O23:P23</f>
        <v>1433</v>
      </c>
      <c r="Q21" s="72">
        <v>0</v>
      </c>
      <c r="R21" s="72" t="e" cm="1">
        <f t="array" ref="R21:S21">ROUND('Projekta dati'!Q23:R23,3)</f>
        <v>#DIV/0!</v>
      </c>
      <c r="S21" s="72">
        <v>0</v>
      </c>
      <c r="T21" s="72"/>
      <c r="U21" s="87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</row>
    <row r="22" spans="1:41" s="2" customFormat="1" ht="41.45" customHeight="1" x14ac:dyDescent="0.25">
      <c r="A22" s="43"/>
      <c r="B22" s="165" t="s">
        <v>34</v>
      </c>
      <c r="C22" s="165"/>
      <c r="D22" s="165"/>
      <c r="E22" s="21">
        <f>IF(Dati!K2=0,1,IF(Dati!K3=0,1,2.5))</f>
        <v>1</v>
      </c>
      <c r="F22" s="75">
        <f>IF(E22='Projekta dati'!E22,E22,_xlfn.CONCAT('Projekta dati'!E22," MAINĪTS, kur starpība ",'Projekta dati'!E22-'Projekta dati (2)'!E22))</f>
        <v>1</v>
      </c>
      <c r="G22" s="8"/>
      <c r="H22" s="141" t="s">
        <v>35</v>
      </c>
      <c r="I22" s="141"/>
      <c r="J22" s="141" t="s">
        <v>36</v>
      </c>
      <c r="K22" s="141"/>
      <c r="L22" s="25"/>
      <c r="M22" s="75">
        <f>IF('Projekta dati'!M22=N22,N22,_xlfn.CONCAT('Projekta dati'!M22," MAINĪTS, kur starpība ",'Projekta dati'!M22-N22))</f>
        <v>1</v>
      </c>
      <c r="N22" s="21">
        <f>IF(Dati!L2=0,1,IF(Dati!L3=0,1,2.5))</f>
        <v>1</v>
      </c>
      <c r="O22" s="8"/>
      <c r="P22" s="141" t="s">
        <v>35</v>
      </c>
      <c r="Q22" s="141"/>
      <c r="R22" s="141" t="s">
        <v>36</v>
      </c>
      <c r="S22" s="141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</row>
    <row r="23" spans="1:41" s="2" customFormat="1" ht="15.75" x14ac:dyDescent="0.25">
      <c r="A23" s="43"/>
      <c r="B23" s="1"/>
      <c r="C23" s="168" t="s">
        <v>37</v>
      </c>
      <c r="D23" s="168"/>
      <c r="E23" s="27">
        <f>ROUND(E19*E20*E21/E22,3)</f>
        <v>0</v>
      </c>
      <c r="F23" s="76" t="e">
        <f>IF(E23='Projekta dati'!E23,'Projekta dati'!E23,_xlfn.CONCAT('Projekta dati'!E23," MAINĪTS, kur starpība ",'Projekta dati'!E23-'Projekta dati (2)'!E23))</f>
        <v>#DIV/0!</v>
      </c>
      <c r="G23" s="23" t="s">
        <v>38</v>
      </c>
      <c r="H23" s="163">
        <f>VLOOKUP(D14,Dati!B3:E11,2,FALSE)</f>
        <v>1692</v>
      </c>
      <c r="I23" s="164"/>
      <c r="J23" s="142">
        <f>ROUND(E23*H23/1000000,3)</f>
        <v>0</v>
      </c>
      <c r="K23" s="143"/>
      <c r="L23"/>
      <c r="M23" s="82" t="e">
        <f>N23/(E23+N23)</f>
        <v>#DIV/0!</v>
      </c>
      <c r="N23" s="27">
        <f>N19*N20*N21/N22</f>
        <v>0</v>
      </c>
      <c r="O23" s="23" t="s">
        <v>38</v>
      </c>
      <c r="P23" s="163">
        <f>IFERROR(VLOOKUP(M14,Dati!B3:E11,2,FALSE),0)</f>
        <v>1433</v>
      </c>
      <c r="Q23" s="164"/>
      <c r="R23" s="142" t="e">
        <f>ROUND(IF(M23&gt;30%,N23*P23/1000000,0),3)</f>
        <v>#DIV/0!</v>
      </c>
      <c r="S23" s="1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</row>
    <row r="24" spans="1:41" s="2" customFormat="1" ht="63.6" customHeight="1" thickBot="1" x14ac:dyDescent="0.3">
      <c r="A24" s="43"/>
      <c r="B24" s="1"/>
      <c r="C24" s="14"/>
      <c r="D24" s="14"/>
      <c r="E24" s="14"/>
      <c r="F24" s="14"/>
      <c r="G24" s="1"/>
      <c r="H24" s="1"/>
      <c r="I24" s="1"/>
      <c r="J24" s="1"/>
      <c r="K24" s="1"/>
      <c r="L24" s="1"/>
      <c r="M24" s="83" t="e">
        <f>IF(M23='Projekta dati'!L23,M23,_xlfn.CONCAT(ROUND('Projekta dati'!L23*100,), " MAINĪTS, kur starpība ", (ROUND(('Projekta dati'!L23-M23)*100,2))))</f>
        <v>#DIV/0!</v>
      </c>
      <c r="N24" s="84">
        <f>IF(N23='Projekta dati'!M23,N23,_xlfn.CONCAT('Projekta dati'!M23," MAINĪTS, kur starpība ",'Projekta dati'!M23-N23))</f>
        <v>0</v>
      </c>
      <c r="O24" s="1"/>
      <c r="P24" s="190">
        <f>IF(P23=P21,P23,_xlfn.CONCAT(P21," MAINĪTS, kur starpība ",P21-P23))</f>
        <v>1433</v>
      </c>
      <c r="Q24" s="190"/>
      <c r="R24" s="189" t="e">
        <f t="shared" ref="R24" si="1">IF(R23=R21,R23,_xlfn.CONCAT(R21," MAINĪTS, kur starpība ",R21-R23))</f>
        <v>#DIV/0!</v>
      </c>
      <c r="S24" s="189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</row>
    <row r="25" spans="1:41" s="2" customFormat="1" ht="15.75" x14ac:dyDescent="0.25">
      <c r="A25" s="43"/>
      <c r="B25" s="1"/>
      <c r="C25" s="14"/>
      <c r="D25" s="14"/>
      <c r="E25" s="14"/>
      <c r="F25" s="14"/>
      <c r="G25" s="1"/>
      <c r="H25" s="1"/>
      <c r="I25" s="176" t="s">
        <v>39</v>
      </c>
      <c r="J25" s="177"/>
      <c r="K25" s="1"/>
      <c r="L25" s="1"/>
      <c r="M25" s="1"/>
      <c r="N25" s="14"/>
      <c r="O25" s="1"/>
      <c r="P25" s="1"/>
      <c r="Q25" s="1"/>
      <c r="R25" s="160" t="s">
        <v>40</v>
      </c>
      <c r="S25" s="161"/>
      <c r="T25" s="162"/>
      <c r="U25" s="87" t="e" cm="1">
        <f t="array" ref="U25:W25">'Projekta dati'!Q26:S26</f>
        <v>#DIV/0!</v>
      </c>
      <c r="V25" s="87">
        <v>0</v>
      </c>
      <c r="W25" s="87">
        <v>0</v>
      </c>
      <c r="X25" s="88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</row>
    <row r="26" spans="1:41" ht="54" customHeight="1" thickBot="1" x14ac:dyDescent="0.3">
      <c r="B26" s="63" t="e" cm="1">
        <f t="array" ref="B26:C26">'Projekta dati'!H26:I26</f>
        <v>#DIV/0!</v>
      </c>
      <c r="C26" s="65">
        <v>0</v>
      </c>
      <c r="D26" s="58"/>
      <c r="E26" s="58"/>
      <c r="F26" s="58"/>
      <c r="G26" s="58"/>
      <c r="H26" s="58" t="s">
        <v>41</v>
      </c>
      <c r="I26" s="166" t="e">
        <f>ROUND(IF(M23&gt;30%,E23+N23,E23),3)</f>
        <v>#DIV/0!</v>
      </c>
      <c r="J26" s="167"/>
      <c r="K26" s="75" t="e">
        <f>IF(I26=B26,I26,_xlfn.CONCAT(B26," MAINĪTS, kur starpība ",I26-B26))</f>
        <v>#DIV/0!</v>
      </c>
      <c r="L26" s="23" t="s">
        <v>38</v>
      </c>
      <c r="N26" s="58"/>
      <c r="O26" s="58"/>
      <c r="P26" s="80" t="s">
        <v>42</v>
      </c>
      <c r="Q26" s="75" t="e">
        <f>IF(R26=U25,R26,_xlfn.CONCAT(U25," MAINĪTS, kur starpība ",U25-R26))</f>
        <v>#DIV/0!</v>
      </c>
      <c r="R26" s="157" t="e">
        <f>I26</f>
        <v>#DIV/0!</v>
      </c>
      <c r="S26" s="158"/>
      <c r="T26" s="159"/>
      <c r="U26" s="41" t="s">
        <v>38</v>
      </c>
      <c r="V26" s="35" t="s">
        <v>43</v>
      </c>
    </row>
    <row r="27" spans="1:41" ht="33" customHeight="1" x14ac:dyDescent="0.25">
      <c r="B27" s="63" t="e" cm="1">
        <f t="array" ref="B27:C27">ROUND('Projekta dati'!H27:I27,1)</f>
        <v>#DIV/0!</v>
      </c>
      <c r="C27" s="66">
        <v>0</v>
      </c>
      <c r="D27" s="62"/>
      <c r="E27" s="62"/>
      <c r="F27" s="62"/>
      <c r="G27" s="62"/>
      <c r="H27" s="58" t="s">
        <v>44</v>
      </c>
      <c r="I27" s="171" t="e">
        <f>ROUND(I26*1000/J8,1)</f>
        <v>#DIV/0!</v>
      </c>
      <c r="J27" s="172"/>
      <c r="K27" s="75" t="e">
        <f>IF(I27=B27,I27,_xlfn.CONCAT(B27," MAINĪTS, kur starpība ir ",I27-B27))</f>
        <v>#DIV/0!</v>
      </c>
      <c r="L27" s="23" t="s">
        <v>45</v>
      </c>
      <c r="N27" s="56"/>
      <c r="O27" s="56"/>
      <c r="P27" s="57" t="s">
        <v>90</v>
      </c>
      <c r="R27" s="187" t="str" cm="1">
        <f t="array" ref="R27:V27">'Projekta dati'!Q27:U27</f>
        <v>42.1. tāda koksnes biomasas apkures katla iegāde, kas piemērots granulu kurināmajam</v>
      </c>
      <c r="S27" s="187">
        <v>0</v>
      </c>
      <c r="T27" s="187">
        <v>0</v>
      </c>
      <c r="U27" s="187">
        <v>0</v>
      </c>
      <c r="V27" s="187">
        <v>0</v>
      </c>
      <c r="W27" s="188"/>
    </row>
    <row r="28" spans="1:41" ht="31.5" customHeight="1" x14ac:dyDescent="0.25">
      <c r="B28" s="63" t="e" cm="1">
        <f t="array" ref="B28:C28">'Projekta dati'!H28:I28</f>
        <v>#DIV/0!</v>
      </c>
      <c r="C28" s="66">
        <v>0</v>
      </c>
      <c r="D28" s="62"/>
      <c r="E28" s="62"/>
      <c r="F28" s="173" t="s">
        <v>48</v>
      </c>
      <c r="G28" s="173"/>
      <c r="H28" s="186"/>
      <c r="I28" s="174" t="e">
        <f>IF(I27&gt;Dati!K5,"NEATBILST","Atbilst")</f>
        <v>#DIV/0!</v>
      </c>
      <c r="J28" s="175"/>
      <c r="K28" s="75" t="e">
        <f>IF(I28=B28,I28,"MAINĪTS")</f>
        <v>#DIV/0!</v>
      </c>
      <c r="O28" s="57"/>
      <c r="P28" s="57" t="s">
        <v>49</v>
      </c>
      <c r="Q28" s="75">
        <f>IF(R28=V28,R28,_xlfn.CONCAT(V28," MAINĪTS, kur starpība ",V28-R28))</f>
        <v>216</v>
      </c>
      <c r="R28" s="152">
        <f>IF(R27=Dati!G6,216,0)</f>
        <v>216</v>
      </c>
      <c r="S28" s="153"/>
      <c r="U28" s="1" t="s">
        <v>50</v>
      </c>
      <c r="V28" s="86" cm="1">
        <f t="array" ref="V28:W28">'Projekta dati'!Q28:R28</f>
        <v>216</v>
      </c>
      <c r="W28" s="86">
        <v>0</v>
      </c>
    </row>
    <row r="29" spans="1:41" ht="50.45" customHeight="1" thickBot="1" x14ac:dyDescent="0.3">
      <c r="B29" s="63" t="e" cm="1">
        <f t="array" ref="B29:C29">'Projekta dati'!H29:I29</f>
        <v>#DIV/0!</v>
      </c>
      <c r="C29" s="67">
        <v>0</v>
      </c>
      <c r="D29" s="61"/>
      <c r="E29" s="61"/>
      <c r="F29" s="61"/>
      <c r="G29" s="61"/>
      <c r="H29" s="57" t="s">
        <v>51</v>
      </c>
      <c r="I29" s="169" t="e">
        <f>ROUND(J23+R23,3)</f>
        <v>#DIV/0!</v>
      </c>
      <c r="J29" s="170"/>
      <c r="K29" s="75" t="e">
        <f>IF(I29=B29,I29,_xlfn.CONCAT(B29," MAINĪTS, kur starpība ir ",B29-I29))</f>
        <v>#DIV/0!</v>
      </c>
      <c r="L29" s="23" t="s">
        <v>52</v>
      </c>
      <c r="N29" s="57"/>
      <c r="O29" s="57"/>
      <c r="P29" s="57" t="s">
        <v>53</v>
      </c>
      <c r="Q29" s="75" t="e">
        <f>IF(R29=V29,R29,_xlfn.CONCAT(V29," MAINĪTS, kur starpība ",V29-R29))</f>
        <v>#DIV/0!</v>
      </c>
      <c r="R29" s="144" t="e">
        <f>ROUND(R26*R28/1000000,3)</f>
        <v>#DIV/0!</v>
      </c>
      <c r="S29" s="145"/>
      <c r="U29" s="1" t="s">
        <v>52</v>
      </c>
      <c r="V29" s="86" t="e" cm="1">
        <f t="array" ref="V29:W29">ROUND('Projekta dati'!Q29:R29,3)</f>
        <v>#DIV/0!</v>
      </c>
      <c r="W29" s="86">
        <v>0</v>
      </c>
    </row>
    <row r="30" spans="1:41" x14ac:dyDescent="0.25">
      <c r="B30" s="63" cm="1">
        <f t="array" ref="B30:C30">'Projekta dati'!H30:I30</f>
        <v>0</v>
      </c>
      <c r="C30" s="68">
        <v>0</v>
      </c>
    </row>
    <row r="31" spans="1:41" s="42" customFormat="1" x14ac:dyDescent="0.25"/>
    <row r="32" spans="1:41" s="42" customFormat="1" x14ac:dyDescent="0.25"/>
    <row r="33" spans="8:9" s="42" customFormat="1" x14ac:dyDescent="0.25"/>
    <row r="34" spans="8:9" s="42" customFormat="1" x14ac:dyDescent="0.25"/>
    <row r="35" spans="8:9" s="42" customFormat="1" x14ac:dyDescent="0.25">
      <c r="H35" s="42" t="s">
        <v>54</v>
      </c>
      <c r="I35" s="42">
        <f>IF(J8&lt;50, 0, IF(AND(J8&gt;=50, J8&lt;=120), IF(I27&gt;180, 0, IF(AND(I27&gt;=95, I27&lt;=180), 1, 2)), IF(AND(J8&gt;120, J8&lt;=250), IF(I27&gt;150, 0, IF(AND(I27&gt;=90, I27&lt;=150), 1, 2)), IF(I27&gt;125, 0, IF(AND(I27&gt;=80, I27&lt;=125), 1, 2)))))</f>
        <v>0</v>
      </c>
    </row>
    <row r="36" spans="8:9" s="42" customFormat="1" x14ac:dyDescent="0.25"/>
    <row r="37" spans="8:9" s="42" customFormat="1" x14ac:dyDescent="0.25"/>
    <row r="38" spans="8:9" s="42" customFormat="1" x14ac:dyDescent="0.25"/>
    <row r="39" spans="8:9" s="42" customFormat="1" x14ac:dyDescent="0.25"/>
    <row r="40" spans="8:9" s="42" customFormat="1" x14ac:dyDescent="0.25"/>
    <row r="41" spans="8:9" s="42" customFormat="1" x14ac:dyDescent="0.25"/>
    <row r="42" spans="8:9" s="42" customFormat="1" x14ac:dyDescent="0.25"/>
    <row r="43" spans="8:9" s="42" customFormat="1" x14ac:dyDescent="0.25"/>
    <row r="44" spans="8:9" s="42" customFormat="1" x14ac:dyDescent="0.25"/>
    <row r="45" spans="8:9" s="42" customFormat="1" x14ac:dyDescent="0.25"/>
    <row r="46" spans="8:9" s="42" customFormat="1" x14ac:dyDescent="0.25"/>
    <row r="47" spans="8:9" s="42" customFormat="1" x14ac:dyDescent="0.25"/>
    <row r="48" spans="8:9" s="42" customFormat="1" x14ac:dyDescent="0.25"/>
    <row r="49" s="42" customFormat="1" x14ac:dyDescent="0.25"/>
    <row r="50" s="42" customFormat="1" x14ac:dyDescent="0.25"/>
    <row r="51" s="42" customFormat="1" x14ac:dyDescent="0.25"/>
    <row r="52" s="42" customFormat="1" x14ac:dyDescent="0.25"/>
    <row r="53" s="42" customFormat="1" x14ac:dyDescent="0.25"/>
    <row r="54" s="42" customFormat="1" x14ac:dyDescent="0.25"/>
    <row r="55" s="42" customFormat="1" x14ac:dyDescent="0.25"/>
    <row r="56" s="42" customFormat="1" x14ac:dyDescent="0.25"/>
    <row r="57" s="42" customFormat="1" x14ac:dyDescent="0.25"/>
    <row r="58" s="42" customFormat="1" x14ac:dyDescent="0.25"/>
    <row r="59" s="42" customFormat="1" x14ac:dyDescent="0.25"/>
    <row r="60" s="42" customFormat="1" x14ac:dyDescent="0.25"/>
    <row r="61" s="42" customFormat="1" x14ac:dyDescent="0.25"/>
    <row r="62" s="42" customFormat="1" x14ac:dyDescent="0.25"/>
    <row r="63" s="42" customFormat="1" x14ac:dyDescent="0.25"/>
    <row r="64" s="42" customFormat="1" x14ac:dyDescent="0.25"/>
    <row r="65" s="42" customFormat="1" x14ac:dyDescent="0.25"/>
    <row r="66" s="42" customFormat="1" x14ac:dyDescent="0.25"/>
    <row r="67" s="42" customFormat="1" x14ac:dyDescent="0.25"/>
    <row r="68" s="42" customFormat="1" x14ac:dyDescent="0.25"/>
    <row r="69" s="42" customFormat="1" x14ac:dyDescent="0.25"/>
    <row r="70" s="42" customFormat="1" x14ac:dyDescent="0.25"/>
    <row r="71" s="42" customFormat="1" x14ac:dyDescent="0.25"/>
    <row r="72" s="42" customFormat="1" x14ac:dyDescent="0.25"/>
    <row r="73" s="42" customFormat="1" x14ac:dyDescent="0.25"/>
    <row r="74" s="42" customFormat="1" x14ac:dyDescent="0.25"/>
    <row r="75" s="42" customFormat="1" x14ac:dyDescent="0.25"/>
  </sheetData>
  <sheetProtection algorithmName="SHA-512" hashValue="brJhFGGdkQ+jgWr+eLQ76+h4QRZ/ECF4yCaRoSc+CKhyfmrvQ84jD5LP26LicbJJOhpW88hAYve2hJE71dOw+A==" saltValue="vkE0rBLAIejPlVNx2WiP0A==" spinCount="100000" sheet="1" objects="1" scenarios="1" selectLockedCells="1" selectUnlockedCells="1"/>
  <mergeCells count="65">
    <mergeCell ref="C8:I8"/>
    <mergeCell ref="L8:M8"/>
    <mergeCell ref="N5:U5"/>
    <mergeCell ref="N2:V4"/>
    <mergeCell ref="G3:L3"/>
    <mergeCell ref="G4:L4"/>
    <mergeCell ref="G5:L5"/>
    <mergeCell ref="C7:E7"/>
    <mergeCell ref="G7:K7"/>
    <mergeCell ref="N7:T7"/>
    <mergeCell ref="V5:W5"/>
    <mergeCell ref="V7:W7"/>
    <mergeCell ref="J18:K18"/>
    <mergeCell ref="C10:I10"/>
    <mergeCell ref="L10:M10"/>
    <mergeCell ref="O10:T10"/>
    <mergeCell ref="C11:S11"/>
    <mergeCell ref="D12:H12"/>
    <mergeCell ref="M12:P12"/>
    <mergeCell ref="Q12:T14"/>
    <mergeCell ref="V13:W13"/>
    <mergeCell ref="V16:W16"/>
    <mergeCell ref="C9:I9"/>
    <mergeCell ref="O9:T9"/>
    <mergeCell ref="B2:E5"/>
    <mergeCell ref="G2:L2"/>
    <mergeCell ref="B19:D19"/>
    <mergeCell ref="B20:D20"/>
    <mergeCell ref="B21:D21"/>
    <mergeCell ref="U12:U13"/>
    <mergeCell ref="B13:C13"/>
    <mergeCell ref="B14:C14"/>
    <mergeCell ref="U15:U16"/>
    <mergeCell ref="B16:C18"/>
    <mergeCell ref="H16:I16"/>
    <mergeCell ref="J16:K16"/>
    <mergeCell ref="H17:I17"/>
    <mergeCell ref="B15:C15"/>
    <mergeCell ref="I15:K15"/>
    <mergeCell ref="Q15:T18"/>
    <mergeCell ref="J17:K17"/>
    <mergeCell ref="H18:I18"/>
    <mergeCell ref="I25:J25"/>
    <mergeCell ref="R25:T25"/>
    <mergeCell ref="I26:J26"/>
    <mergeCell ref="R26:T26"/>
    <mergeCell ref="B22:D22"/>
    <mergeCell ref="H22:I22"/>
    <mergeCell ref="J22:K22"/>
    <mergeCell ref="R22:S22"/>
    <mergeCell ref="C23:D23"/>
    <mergeCell ref="H23:I23"/>
    <mergeCell ref="J23:K23"/>
    <mergeCell ref="P23:Q23"/>
    <mergeCell ref="R23:S23"/>
    <mergeCell ref="P22:Q22"/>
    <mergeCell ref="R24:S24"/>
    <mergeCell ref="P24:Q24"/>
    <mergeCell ref="F28:H28"/>
    <mergeCell ref="I29:J29"/>
    <mergeCell ref="R29:S29"/>
    <mergeCell ref="I27:J27"/>
    <mergeCell ref="I28:J28"/>
    <mergeCell ref="R28:S28"/>
    <mergeCell ref="R27:W27"/>
  </mergeCells>
  <conditionalFormatting sqref="A19:G19 L19:O19 Q19:XFD19 A26:J27 A28:F28 I28:J28 A29:J29 A30:XFD1048576 A20:XFD20 A23:K23 M23:XFD23 A22:XFD22 A21:O21 U21:XFD21 A25:XFD25 A24:P24 T24:XFD24 R24 N26:P27 O28:P28 R26:XFD29 N29:P29 A1:XFD4 A5:N5 A17:V17 X5:XFD17 A6:U16 A18:XFD18">
    <cfRule type="containsText" dxfId="10" priority="6" operator="containsText" text="MAINĪTS">
      <formula>NOT(ISERROR(SEARCH("MAINĪTS",A1)))</formula>
    </cfRule>
  </conditionalFormatting>
  <conditionalFormatting sqref="C11:C12 L13:L22">
    <cfRule type="expression" dxfId="9" priority="10">
      <formula>#REF!=0</formula>
    </cfRule>
  </conditionalFormatting>
  <conditionalFormatting sqref="I28:J28">
    <cfRule type="expression" dxfId="8" priority="8">
      <formula>$I$28="NEATBILST"</formula>
    </cfRule>
    <cfRule type="expression" dxfId="7" priority="9">
      <formula>$I$28="Atbilst"</formula>
    </cfRule>
  </conditionalFormatting>
  <conditionalFormatting sqref="K26:L29">
    <cfRule type="containsText" dxfId="6" priority="5" operator="containsText" text="MAINĪTS">
      <formula>NOT(ISERROR(SEARCH("MAINĪTS",K26)))</formula>
    </cfRule>
  </conditionalFormatting>
  <conditionalFormatting sqref="L14:L22 D16:D18 M16:M18">
    <cfRule type="expression" dxfId="5" priority="11">
      <formula>#REF!=1</formula>
    </cfRule>
  </conditionalFormatting>
  <conditionalFormatting sqref="U15">
    <cfRule type="expression" dxfId="4" priority="12">
      <formula>$U$15&lt;80</formula>
    </cfRule>
  </conditionalFormatting>
  <conditionalFormatting sqref="Q26">
    <cfRule type="containsText" dxfId="3" priority="4" operator="containsText" text="MAINĪTS">
      <formula>NOT(ISERROR(SEARCH("MAINĪTS",Q26)))</formula>
    </cfRule>
  </conditionalFormatting>
  <conditionalFormatting sqref="Q28:Q29">
    <cfRule type="containsText" dxfId="2" priority="3" operator="containsText" text="MAINĪTS">
      <formula>NOT(ISERROR(SEARCH("MAINĪTS",Q28)))</formula>
    </cfRule>
  </conditionalFormatting>
  <conditionalFormatting sqref="V5 V13 V16">
    <cfRule type="containsText" dxfId="1" priority="2" operator="containsText" text="MAINĪTS">
      <formula>NOT(ISERROR(SEARCH("MAINĪTS",V5)))</formula>
    </cfRule>
  </conditionalFormatting>
  <conditionalFormatting sqref="V7">
    <cfRule type="containsText" dxfId="0" priority="1" operator="containsText" text="MAINĪTS">
      <formula>NOT(ISERROR(SEARCH("MAINĪTS",V7)))</formula>
    </cfRule>
  </conditionalFormatting>
  <dataValidations count="2">
    <dataValidation type="decimal" allowBlank="1" showErrorMessage="1" errorTitle="KĻŪDA" error="Tikai skaitļi no 0 līdz 1" sqref="L14:L22" xr:uid="{DC73CDCA-3761-49FE-8572-6E6A26CFD6AF}">
      <formula1>0.1</formula1>
      <formula2>1</formula2>
    </dataValidation>
    <dataValidation allowBlank="1" showErrorMessage="1" errorTitle="KĻŪDA" error="Tikai veseli skaitļi robežās no 0 līdz 10000000" sqref="C11:C12 L13" xr:uid="{D3BE1FF8-2756-47F9-9CDF-E661B3E83A1C}"/>
  </dataValidations>
  <printOptions horizontalCentered="1"/>
  <pageMargins left="0.11811023622047245" right="0.11811023622047245" top="0.55118110236220474" bottom="0.55118110236220474" header="0.31496062992125984" footer="0.31496062992125984"/>
  <pageSetup paperSize="9" scale="53" orientation="portrait" horizontalDpi="1200" verticalDpi="1200" r:id="rId1"/>
  <headerFooter>
    <oddFooter>&amp;R&amp;A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E16F8-C318-401E-B6D1-DC9A875F32A6}">
  <dimension ref="B1:L29"/>
  <sheetViews>
    <sheetView workbookViewId="0">
      <selection activeCell="O1" sqref="O1"/>
    </sheetView>
  </sheetViews>
  <sheetFormatPr defaultColWidth="8.85546875" defaultRowHeight="15" x14ac:dyDescent="0.25"/>
  <cols>
    <col min="1" max="1" width="3.28515625" style="1" customWidth="1"/>
    <col min="2" max="2" width="74.28515625" style="1" customWidth="1"/>
    <col min="3" max="4" width="8.85546875" style="1"/>
    <col min="5" max="5" width="14.140625" style="14" bestFit="1" customWidth="1"/>
    <col min="6" max="6" width="8.85546875" style="1"/>
    <col min="7" max="7" width="30.42578125" style="1" customWidth="1"/>
    <col min="8" max="16384" width="8.85546875" style="1"/>
  </cols>
  <sheetData>
    <row r="1" spans="2:12" ht="60.75" customHeight="1" x14ac:dyDescent="0.25">
      <c r="I1" s="1" t="s">
        <v>55</v>
      </c>
      <c r="J1" s="1" t="s">
        <v>27</v>
      </c>
    </row>
    <row r="2" spans="2:12" ht="16.5" x14ac:dyDescent="0.3">
      <c r="B2" s="6" t="s">
        <v>56</v>
      </c>
      <c r="C2" s="195" t="s">
        <v>57</v>
      </c>
      <c r="D2" s="195"/>
      <c r="E2" s="17" t="s">
        <v>58</v>
      </c>
      <c r="H2" s="1" t="s">
        <v>59</v>
      </c>
      <c r="I2" s="1">
        <v>1</v>
      </c>
      <c r="J2" s="1">
        <f>1.5/0.6</f>
        <v>2.5</v>
      </c>
      <c r="K2" s="1">
        <f>IF('Projekta dati'!D13=Dati!B14,1,IF('Projekta dati'!D13=Dati!B15,1,IF('Projekta dati'!D13=Dati!B16,1,IF('Projekta dati'!D13=Dati!B17,1,IF('Projekta dati'!D13=Dati!B18,1,IF('Projekta dati'!D13=Dati!B19,1,0))))))</f>
        <v>0</v>
      </c>
      <c r="L2" s="1">
        <f>IF('Projekta dati'!L13=Dati!B14,1,IF('Projekta dati'!L13=Dati!B15,1,IF('Projekta dati'!L13=Dati!B16,1,IF('Projekta dati'!L13=Dati!B17,1,IF('Projekta dati'!L13=Dati!B18,1,IF('Projekta dati'!L13=Dati!B19,1,0))))))</f>
        <v>0</v>
      </c>
    </row>
    <row r="3" spans="2:12" x14ac:dyDescent="0.25">
      <c r="B3" s="9" t="s">
        <v>60</v>
      </c>
      <c r="C3" s="10">
        <v>2952</v>
      </c>
      <c r="D3" s="10" t="s">
        <v>50</v>
      </c>
      <c r="E3" s="19">
        <v>0.2</v>
      </c>
      <c r="K3" s="1">
        <f>IF('Projekta dati'!D15=Dati!F15,1,0)</f>
        <v>0</v>
      </c>
      <c r="L3" s="1">
        <f>IF('Projekta dati'!L15=Dati!F15,1,0)</f>
        <v>1</v>
      </c>
    </row>
    <row r="4" spans="2:12" x14ac:dyDescent="0.25">
      <c r="B4" s="9" t="s">
        <v>61</v>
      </c>
      <c r="C4" s="10">
        <v>2664</v>
      </c>
      <c r="D4" s="10" t="s">
        <v>50</v>
      </c>
      <c r="E4" s="19">
        <v>0.45</v>
      </c>
      <c r="H4" s="1" t="s">
        <v>62</v>
      </c>
    </row>
    <row r="5" spans="2:12" ht="30" x14ac:dyDescent="0.25">
      <c r="B5" s="15" t="s">
        <v>24</v>
      </c>
      <c r="C5" s="10">
        <v>2664</v>
      </c>
      <c r="D5" s="10" t="s">
        <v>50</v>
      </c>
      <c r="E5" s="18">
        <v>0.65</v>
      </c>
      <c r="H5" s="1">
        <f>'Projekta dati'!I8</f>
        <v>0</v>
      </c>
      <c r="J5" s="1">
        <f>IF(H5&lt;120,1,IF(H5&gt;250,3,2))</f>
        <v>1</v>
      </c>
      <c r="K5" s="1">
        <f>IF(J5=1,180,IF(J5=3,125,150))</f>
        <v>180</v>
      </c>
      <c r="L5" s="1">
        <v>90</v>
      </c>
    </row>
    <row r="6" spans="2:12" x14ac:dyDescent="0.25">
      <c r="B6" s="9" t="s">
        <v>63</v>
      </c>
      <c r="C6" s="10">
        <v>2664</v>
      </c>
      <c r="D6" s="10" t="s">
        <v>50</v>
      </c>
      <c r="E6" s="18">
        <v>0.65</v>
      </c>
      <c r="G6" s="1" t="s">
        <v>64</v>
      </c>
    </row>
    <row r="7" spans="2:12" x14ac:dyDescent="0.25">
      <c r="B7" s="15" t="s">
        <v>65</v>
      </c>
      <c r="C7" s="10">
        <v>1692</v>
      </c>
      <c r="D7" s="10" t="s">
        <v>50</v>
      </c>
      <c r="E7" s="18">
        <v>0.65</v>
      </c>
      <c r="G7" s="1" t="s">
        <v>47</v>
      </c>
    </row>
    <row r="8" spans="2:12" x14ac:dyDescent="0.25">
      <c r="B8" s="9" t="s">
        <v>66</v>
      </c>
      <c r="C8" s="10">
        <v>1692</v>
      </c>
      <c r="D8" s="10" t="s">
        <v>50</v>
      </c>
      <c r="E8" s="19">
        <v>0.85</v>
      </c>
      <c r="G8" s="1" t="s">
        <v>67</v>
      </c>
    </row>
    <row r="9" spans="2:12" x14ac:dyDescent="0.25">
      <c r="B9" s="15" t="s">
        <v>25</v>
      </c>
      <c r="C9" s="10">
        <v>1433</v>
      </c>
      <c r="D9" s="10" t="s">
        <v>50</v>
      </c>
      <c r="E9" s="18">
        <v>0.65</v>
      </c>
      <c r="G9" s="1" t="s">
        <v>68</v>
      </c>
    </row>
    <row r="10" spans="2:12" x14ac:dyDescent="0.25">
      <c r="B10" s="15" t="s">
        <v>69</v>
      </c>
      <c r="C10" s="10">
        <v>1433</v>
      </c>
      <c r="D10" s="10" t="s">
        <v>50</v>
      </c>
      <c r="E10" s="18">
        <v>0.65</v>
      </c>
      <c r="G10" s="1">
        <f>'Projekta dati'!I8</f>
        <v>0</v>
      </c>
    </row>
    <row r="11" spans="2:12" x14ac:dyDescent="0.25">
      <c r="B11" s="9" t="s">
        <v>70</v>
      </c>
      <c r="C11" s="16">
        <v>1692</v>
      </c>
      <c r="D11" s="10" t="s">
        <v>50</v>
      </c>
      <c r="E11" s="19">
        <v>0.5</v>
      </c>
      <c r="G11" s="1" t="e">
        <f>'Projekta dati'!H26</f>
        <v>#DIV/0!</v>
      </c>
    </row>
    <row r="12" spans="2:12" x14ac:dyDescent="0.25">
      <c r="G12" s="1">
        <v>212</v>
      </c>
      <c r="H12" s="1">
        <f>G12*G13</f>
        <v>5088</v>
      </c>
    </row>
    <row r="13" spans="2:12" ht="15.75" x14ac:dyDescent="0.25">
      <c r="B13" s="30" t="s">
        <v>71</v>
      </c>
      <c r="C13" s="12" t="s">
        <v>72</v>
      </c>
      <c r="D13" s="12"/>
      <c r="E13" s="11"/>
      <c r="G13" s="1">
        <v>24</v>
      </c>
    </row>
    <row r="14" spans="2:12" ht="15.75" x14ac:dyDescent="0.25">
      <c r="B14" s="30" t="s">
        <v>73</v>
      </c>
      <c r="C14" s="12">
        <v>4.5110000000000001</v>
      </c>
      <c r="D14" s="12" t="s">
        <v>74</v>
      </c>
      <c r="E14" s="11" t="s">
        <v>55</v>
      </c>
      <c r="F14" s="1" t="s">
        <v>55</v>
      </c>
      <c r="G14" s="1">
        <f>'Projekta dati'!I9</f>
        <v>0</v>
      </c>
      <c r="H14" s="1">
        <f>G14-G16</f>
        <v>-2</v>
      </c>
    </row>
    <row r="15" spans="2:12" ht="15.75" x14ac:dyDescent="0.25">
      <c r="B15" s="30" t="s">
        <v>21</v>
      </c>
      <c r="C15" s="12">
        <v>3.9340000000000002</v>
      </c>
      <c r="D15" s="12" t="s">
        <v>75</v>
      </c>
      <c r="E15" s="11" t="s">
        <v>55</v>
      </c>
      <c r="F15" s="1" t="s">
        <v>27</v>
      </c>
      <c r="G15" s="1">
        <v>-24</v>
      </c>
      <c r="H15" s="1">
        <f>ABS(G15-G14)</f>
        <v>24</v>
      </c>
    </row>
    <row r="16" spans="2:12" ht="15.75" x14ac:dyDescent="0.25">
      <c r="B16" s="30" t="s">
        <v>76</v>
      </c>
      <c r="C16" s="12">
        <v>3.359</v>
      </c>
      <c r="D16" s="12" t="s">
        <v>75</v>
      </c>
      <c r="E16" s="11" t="s">
        <v>55</v>
      </c>
      <c r="F16" s="1" t="s">
        <v>77</v>
      </c>
      <c r="G16" s="1">
        <v>2</v>
      </c>
      <c r="H16" s="34">
        <f>H15/H14*1.2</f>
        <v>-14.399999999999999</v>
      </c>
      <c r="I16" s="1">
        <v>0.85</v>
      </c>
    </row>
    <row r="17" spans="2:7" ht="15.75" x14ac:dyDescent="0.25">
      <c r="B17" s="30" t="s">
        <v>78</v>
      </c>
      <c r="C17" s="12">
        <v>2.7810000000000001</v>
      </c>
      <c r="D17" s="12" t="s">
        <v>74</v>
      </c>
      <c r="E17" s="11" t="s">
        <v>55</v>
      </c>
      <c r="G17" s="34" t="e">
        <f>ROUNDUP((G11*1000/(G12*G13)*(H15)/(G14-G16))*1.2/I16,0)</f>
        <v>#DIV/0!</v>
      </c>
    </row>
    <row r="18" spans="2:7" ht="15.75" x14ac:dyDescent="0.25">
      <c r="B18" s="30" t="s">
        <v>79</v>
      </c>
      <c r="C18" s="12">
        <v>2.1469999999999998</v>
      </c>
      <c r="D18" s="12" t="s">
        <v>74</v>
      </c>
      <c r="E18" s="11" t="s">
        <v>55</v>
      </c>
    </row>
    <row r="19" spans="2:7" ht="15.75" x14ac:dyDescent="0.25">
      <c r="B19" s="30" t="s">
        <v>80</v>
      </c>
      <c r="C19" s="12">
        <v>1.917</v>
      </c>
      <c r="D19" s="12" t="s">
        <v>74</v>
      </c>
      <c r="E19" s="11" t="s">
        <v>55</v>
      </c>
    </row>
    <row r="20" spans="2:7" ht="15.75" x14ac:dyDescent="0.25">
      <c r="B20" s="31" t="s">
        <v>81</v>
      </c>
      <c r="C20" s="1">
        <v>0.747</v>
      </c>
      <c r="D20" s="1" t="s">
        <v>82</v>
      </c>
      <c r="E20" s="2" t="s">
        <v>27</v>
      </c>
    </row>
    <row r="21" spans="2:7" x14ac:dyDescent="0.25">
      <c r="B21" s="31" t="s">
        <v>83</v>
      </c>
      <c r="C21" s="1">
        <v>0.90600000000000003</v>
      </c>
      <c r="D21" s="1" t="s">
        <v>82</v>
      </c>
      <c r="E21" s="3" t="s">
        <v>27</v>
      </c>
    </row>
    <row r="22" spans="2:7" ht="15.75" x14ac:dyDescent="0.25">
      <c r="B22" s="31" t="s">
        <v>84</v>
      </c>
      <c r="C22" s="1">
        <v>4.6609999999999996</v>
      </c>
      <c r="D22" s="1" t="s">
        <v>85</v>
      </c>
      <c r="E22" s="2" t="s">
        <v>77</v>
      </c>
    </row>
    <row r="23" spans="2:7" ht="15.75" x14ac:dyDescent="0.25">
      <c r="B23" s="31" t="s">
        <v>86</v>
      </c>
      <c r="C23" s="1">
        <v>4.8730000000000002</v>
      </c>
      <c r="D23" s="1" t="s">
        <v>85</v>
      </c>
      <c r="E23" s="2" t="s">
        <v>77</v>
      </c>
    </row>
    <row r="24" spans="2:7" ht="15.75" x14ac:dyDescent="0.25">
      <c r="B24" s="31" t="s">
        <v>22</v>
      </c>
      <c r="C24" s="1">
        <v>6.6369999999999996</v>
      </c>
      <c r="D24" s="1" t="s">
        <v>85</v>
      </c>
      <c r="E24" s="2" t="s">
        <v>77</v>
      </c>
    </row>
    <row r="25" spans="2:7" ht="15.75" x14ac:dyDescent="0.25">
      <c r="B25" s="31" t="s">
        <v>87</v>
      </c>
      <c r="C25" s="1">
        <v>2.7919999999999998</v>
      </c>
      <c r="D25" s="1" t="s">
        <v>85</v>
      </c>
      <c r="E25" s="2" t="s">
        <v>77</v>
      </c>
    </row>
    <row r="26" spans="2:7" ht="15.75" x14ac:dyDescent="0.25">
      <c r="B26" s="31" t="s">
        <v>88</v>
      </c>
      <c r="C26" s="1">
        <v>4.3029999999999999</v>
      </c>
      <c r="D26" s="1" t="s">
        <v>85</v>
      </c>
      <c r="E26" s="2" t="s">
        <v>77</v>
      </c>
    </row>
    <row r="27" spans="2:7" x14ac:dyDescent="0.25">
      <c r="D27" s="1" t="s">
        <v>55</v>
      </c>
      <c r="E27" s="14" t="s">
        <v>89</v>
      </c>
    </row>
    <row r="28" spans="2:7" x14ac:dyDescent="0.25">
      <c r="D28" s="1" t="s">
        <v>27</v>
      </c>
      <c r="E28" s="14" t="s">
        <v>82</v>
      </c>
    </row>
    <row r="29" spans="2:7" x14ac:dyDescent="0.25">
      <c r="D29" s="1" t="s">
        <v>77</v>
      </c>
      <c r="E29" s="14" t="s">
        <v>85</v>
      </c>
    </row>
  </sheetData>
  <sheetProtection algorithmName="SHA-512" hashValue="+54rH0bAevc3CbU+eUIutXsamY9I8owH5pkcdShQfv4dl5ffYXfVAGhYHh7TIh5O2xNt+8sjO06gcdV2LkGixw==" saltValue="tCsP3wagKvF86EuCyGQRbw==" spinCount="100000" sheet="1" objects="1" scenarios="1" selectLockedCells="1" selectUnlockedCells="1"/>
  <mergeCells count="1">
    <mergeCell ref="C2:D2"/>
  </mergeCells>
  <pageMargins left="0.7" right="0.7" top="0.75" bottom="0.75" header="0.3" footer="0.3"/>
  <pageSetup paperSize="9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0A9FF30EE10C44A6751BC2D36CC040" ma:contentTypeVersion="14" ma:contentTypeDescription="Create a new document." ma:contentTypeScope="" ma:versionID="2935fca67e37309efc2f9ecab8b4b190">
  <xsd:schema xmlns:xsd="http://www.w3.org/2001/XMLSchema" xmlns:xs="http://www.w3.org/2001/XMLSchema" xmlns:p="http://schemas.microsoft.com/office/2006/metadata/properties" xmlns:ns2="a84ad92e-a5c9-407a-af9a-37596a145915" xmlns:ns3="9b4a47be-c97c-4e51-b319-47976872be82" targetNamespace="http://schemas.microsoft.com/office/2006/metadata/properties" ma:root="true" ma:fieldsID="2ff4b1cd9797f288cd470153c76eaac7" ns2:_="" ns3:_="">
    <xsd:import namespace="a84ad92e-a5c9-407a-af9a-37596a145915"/>
    <xsd:import namespace="9b4a47be-c97c-4e51-b319-47976872be8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ad92e-a5c9-407a-af9a-37596a14591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a47be-c97c-4e51-b319-47976872be8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757f9cc-656e-40ca-89bc-c6124d6caa1d}" ma:internalName="TaxCatchAll" ma:showField="CatchAllData" ma:web="9b4a47be-c97c-4e51-b319-47976872be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4a47be-c97c-4e51-b319-47976872be82" xsi:nil="true"/>
    <lcf76f155ced4ddcb4097134ff3c332f xmlns="a84ad92e-a5c9-407a-af9a-37596a145915">
      <Terms xmlns="http://schemas.microsoft.com/office/infopath/2007/PartnerControls"/>
    </lcf76f155ced4ddcb4097134ff3c332f>
    <SharedWithUsers xmlns="9b4a47be-c97c-4e51-b319-47976872be82">
      <UserInfo>
        <DisplayName>Mikus Spalviņš</DisplayName>
        <AccountId>24</AccountId>
        <AccountType/>
      </UserInfo>
      <UserInfo>
        <DisplayName>Madara Austriņa</DisplayName>
        <AccountId>9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8C184A-7997-49C6-AFDB-43EECD0BD0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4ad92e-a5c9-407a-af9a-37596a145915"/>
    <ds:schemaRef ds:uri="9b4a47be-c97c-4e51-b319-47976872be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5AC93-022D-4981-AAEC-AADC094B2FB2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a84ad92e-a5c9-407a-af9a-37596a145915"/>
    <ds:schemaRef ds:uri="9b4a47be-c97c-4e51-b319-47976872be82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B28FDE8-F13A-472D-93AC-0728F42E46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Projekta dati</vt:lpstr>
      <vt:lpstr>Projekta dati (2)</vt:lpstr>
      <vt:lpstr>Dati</vt:lpstr>
      <vt:lpstr>Dati!_ftn1</vt:lpstr>
      <vt:lpstr>Dati!_ftnref1</vt:lpstr>
      <vt:lpstr>'Projekta dati'!Print_Area</vt:lpstr>
      <vt:lpstr>'Projekta dati (2)'!Print_Area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Modris</dc:creator>
  <cp:keywords/>
  <dc:description/>
  <cp:lastModifiedBy>Mikus Spalviņš</cp:lastModifiedBy>
  <cp:revision/>
  <dcterms:created xsi:type="dcterms:W3CDTF">2021-08-31T15:22:26Z</dcterms:created>
  <dcterms:modified xsi:type="dcterms:W3CDTF">2023-09-18T08:34:53Z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0x010100F80A9FF30EE10C44A6751BC2D36CC040</vt:lpwstr>
  </property>
  <property fmtid="{D5CDD505-2E9C-101B-9397-08002B2CF9AE}" pid="3" name="MediaServiceImageTags">
    <vt:lpwstr/>
  </property>
</Properties>
</file>