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-spalv\Downloads\Atlases nolikums_saskanosanai\"/>
    </mc:Choice>
  </mc:AlternateContent>
  <xr:revisionPtr revIDLastSave="3" documentId="13_ncr:1_{829AE054-0DB4-4938-9994-79334EF9EF77}" xr6:coauthVersionLast="47" xr6:coauthVersionMax="47" xr10:uidLastSave="{674C4A6E-D7C7-4BCE-BA3B-87DC285B4829}"/>
  <bookViews>
    <workbookView xWindow="-120" yWindow="-120" windowWidth="29040" windowHeight="15840" tabRatio="927" xr2:uid="{00000000-000D-0000-FFFF-FFFF00000000}"/>
  </bookViews>
  <sheets>
    <sheet name="Projekta dati" sheetId="5" r:id="rId1"/>
    <sheet name="Dati" sheetId="20" state="hidden" r:id="rId2"/>
  </sheets>
  <definedNames>
    <definedName name="_ftn1" localSheetId="1">Dati!$O$26</definedName>
    <definedName name="_ftnref1" localSheetId="1">Dati!$O$6</definedName>
    <definedName name="Output_Heizwaerme_Jahresverfahren">#REF!</definedName>
    <definedName name="_xlnm.Print_Area" localSheetId="0">'Projekta dati'!$B$2:$U$29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5" l="1"/>
  <c r="N20" i="5"/>
  <c r="F20" i="5"/>
  <c r="K8" i="5" l="1"/>
  <c r="K10" i="5"/>
  <c r="L2" i="20"/>
  <c r="O23" i="5"/>
  <c r="M21" i="5"/>
  <c r="M20" i="5"/>
  <c r="M19" i="5"/>
  <c r="L3" i="20" l="1"/>
  <c r="M22" i="5" s="1"/>
  <c r="Q28" i="5"/>
  <c r="H12" i="20"/>
  <c r="G10" i="20"/>
  <c r="G14" i="20"/>
  <c r="H14" i="20" s="1"/>
  <c r="G23" i="5"/>
  <c r="H5" i="20"/>
  <c r="J5" i="20" s="1"/>
  <c r="K5" i="20" s="1"/>
  <c r="N19" i="5"/>
  <c r="N18" i="5"/>
  <c r="N17" i="5"/>
  <c r="N16" i="5"/>
  <c r="K3" i="20"/>
  <c r="K2" i="20"/>
  <c r="J2" i="20"/>
  <c r="E21" i="5"/>
  <c r="E20" i="5"/>
  <c r="E19" i="5"/>
  <c r="F19" i="5"/>
  <c r="F18" i="5"/>
  <c r="F17" i="5"/>
  <c r="F16" i="5"/>
  <c r="H15" i="20" l="1"/>
  <c r="H16" i="20" s="1"/>
  <c r="M23" i="5"/>
  <c r="E22" i="5"/>
  <c r="E23" i="5" l="1"/>
  <c r="L23" i="5" l="1"/>
  <c r="I23" i="5"/>
  <c r="H26" i="5" l="1"/>
  <c r="G11" i="20" s="1"/>
  <c r="Q23" i="5"/>
  <c r="H29" i="5" s="1"/>
  <c r="G17" i="20" l="1"/>
  <c r="T7" i="5" s="1"/>
  <c r="Q26" i="5"/>
  <c r="H27" i="5"/>
  <c r="H35" i="5" l="1"/>
  <c r="H28" i="5"/>
  <c r="Q29" i="5"/>
  <c r="M5" i="5" s="1"/>
</calcChain>
</file>

<file path=xl/sharedStrings.xml><?xml version="1.0" encoding="utf-8"?>
<sst xmlns="http://schemas.openxmlformats.org/spreadsheetml/2006/main" count="143" uniqueCount="90">
  <si>
    <t>Projekta dati</t>
  </si>
  <si>
    <t>izvēlnes šūnas, kuras jāaizpilda obligāti</t>
  </si>
  <si>
    <r>
      <t xml:space="preserve">Daļiņu PM2,5 emisijas samazinājums (daļiņu PM2,5 emisiju samazinājums, īstenojot projektu (t/gadā)).
</t>
    </r>
    <r>
      <rPr>
        <b/>
        <sz val="11"/>
        <color rgb="FFFF0000"/>
        <rFont val="Times New Roman"/>
        <family val="1"/>
        <charset val="186"/>
      </rPr>
      <t>NB!</t>
    </r>
    <r>
      <rPr>
        <b/>
        <sz val="11"/>
        <color theme="1"/>
        <rFont val="Times New Roman"/>
        <family val="1"/>
        <charset val="186"/>
      </rPr>
      <t xml:space="preserve"> Rezultātu norāda projekta iesniegumā!</t>
    </r>
    <r>
      <rPr>
        <sz val="11"/>
        <color theme="1"/>
        <rFont val="Times New Roman"/>
        <family val="1"/>
        <charset val="186"/>
      </rPr>
      <t xml:space="preserve">
</t>
    </r>
    <r>
      <rPr>
        <b/>
        <sz val="12"/>
        <color theme="1"/>
        <rFont val="Times New Roman"/>
        <family val="1"/>
        <charset val="186"/>
      </rPr>
      <t>↓</t>
    </r>
  </si>
  <si>
    <t>šūnas, kuras jāaizpilda obligāti</t>
  </si>
  <si>
    <t>izvēlnes šūnas, kuras jāaizpilda ja nepieciešams</t>
  </si>
  <si>
    <t>šūnas, kuras jāaizpilda, ja nepieciešams</t>
  </si>
  <si>
    <t>Projekta ēkas vai dzīvokļa adrese ►►►</t>
  </si>
  <si>
    <t>Rīga</t>
  </si>
  <si>
    <t>Plānotās iekārtas max jauda (indikatīvi)►</t>
  </si>
  <si>
    <t>kW</t>
  </si>
  <si>
    <t>Projekta ēkas (dzīvojamās ēkas) vai dzīvokļa apkurināmā platība ►►►</t>
  </si>
  <si>
    <r>
      <t>m</t>
    </r>
    <r>
      <rPr>
        <vertAlign val="superscript"/>
        <sz val="11"/>
        <color theme="1"/>
        <rFont val="Times New Roman"/>
        <family val="1"/>
        <charset val="186"/>
      </rPr>
      <t>2</t>
    </r>
  </si>
  <si>
    <t>Vidējā iekštelpu temperatūra apkures periodā ►►►</t>
  </si>
  <si>
    <t>*C</t>
  </si>
  <si>
    <t>Plānoto saules paneļu jauda (min 1.0 - max 11.1) (ja attiecināms) ►►►</t>
  </si>
  <si>
    <t>Esošās iekārtas nominālā jauda (ja zināms) ►►►</t>
  </si>
  <si>
    <t>Pēdējā kalendārā gada elektrības patēriņš (attiecināms, ja plāno saules paneļus)►►►</t>
  </si>
  <si>
    <t>kWh/gadā</t>
  </si>
  <si>
    <t>Kurināmais, 1. veids (obligāti)</t>
  </si>
  <si>
    <r>
      <t xml:space="preserve">Kurināmais, 2. veids </t>
    </r>
    <r>
      <rPr>
        <sz val="11"/>
        <color rgb="FFFF0000"/>
        <rFont val="Times New Roman"/>
        <family val="1"/>
        <charset val="186"/>
      </rPr>
      <t>(attiecināms, ja ietekme &gt;30%)</t>
    </r>
  </si>
  <si>
    <t>Pašpatēriņa īpatsvars (MK noteikumu 44.punkts)</t>
  </si>
  <si>
    <t>%</t>
  </si>
  <si>
    <t>Izvēlnē norāda kurināmo►</t>
  </si>
  <si>
    <t>Malka (20% mitrums)</t>
  </si>
  <si>
    <t>Ogles</t>
  </si>
  <si>
    <t>Izvēlnē norāda iekārtas veidu►</t>
  </si>
  <si>
    <t>Koksnes biomasas krāsns (augstas efektivitātes parastā, izstarojošā, piemēram, slēgtā kamīnkrāsns)</t>
  </si>
  <si>
    <t>Ogles izmantojošās apkures iekārtas</t>
  </si>
  <si>
    <t>Izvēlnē norāda kurināmā izskaitīto mērvienību►</t>
  </si>
  <si>
    <t>ber.m3</t>
  </si>
  <si>
    <t>Norāda kurināmā patēriņu uzskaitītajās mērvienībās ►</t>
  </si>
  <si>
    <t>Vidējais naturālā kurināmā patēriņš gadā►</t>
  </si>
  <si>
    <r>
      <t xml:space="preserve">Kurināmā zemākais sadegšanas siltums►
</t>
    </r>
    <r>
      <rPr>
        <sz val="8"/>
        <color rgb="FFFF3300"/>
        <rFont val="Times New Roman"/>
        <family val="1"/>
        <charset val="186"/>
      </rPr>
      <t>NB!</t>
    </r>
    <r>
      <rPr>
        <sz val="8"/>
        <rFont val="Times New Roman"/>
        <family val="1"/>
        <charset val="186"/>
      </rPr>
      <t xml:space="preserve"> šūnu aizpilda manuāli, ja izmantotie dati ir dokumentāli pamatoti</t>
    </r>
  </si>
  <si>
    <r>
      <t xml:space="preserve">Iekārtas lietderības koeficients►
</t>
    </r>
    <r>
      <rPr>
        <sz val="8"/>
        <color rgb="FFFF3300"/>
        <rFont val="Times New Roman"/>
        <family val="1"/>
        <charset val="186"/>
      </rPr>
      <t>NB!</t>
    </r>
    <r>
      <rPr>
        <sz val="8"/>
        <rFont val="Times New Roman"/>
        <family val="1"/>
        <charset val="186"/>
      </rPr>
      <t xml:space="preserve"> šūnu aizpilda manuāli, ja lietderības koeficients ir dokumentāli pamatojams</t>
    </r>
  </si>
  <si>
    <t>Mērvienības konversija►</t>
  </si>
  <si>
    <t>emisijas faktors (g/MWh)</t>
  </si>
  <si>
    <t>PM2,5 daļiņas (t/gadā)</t>
  </si>
  <si>
    <t>Apkures patēriņš►</t>
  </si>
  <si>
    <t>MWh gadā</t>
  </si>
  <si>
    <t>Esošā situācija</t>
  </si>
  <si>
    <t>Plānotā situācija</t>
  </si>
  <si>
    <t>Projekta īstenošanas dzīvojamās mājas vai dzīvokļa apkures patēriņš►</t>
  </si>
  <si>
    <r>
      <rPr>
        <sz val="10"/>
        <color rgb="FF000000"/>
        <rFont val="Times New Roman"/>
      </rPr>
      <t xml:space="preserve">Projekta īstenošanas dzīvojamās mājas  vai dzīvokļa apkures patēriņš ►
</t>
    </r>
    <r>
      <rPr>
        <sz val="10"/>
        <color rgb="FFFF3300"/>
        <rFont val="Times New Roman"/>
      </rPr>
      <t>NB!</t>
    </r>
    <r>
      <rPr>
        <sz val="10"/>
        <color rgb="FF000000"/>
        <rFont val="Times New Roman"/>
      </rPr>
      <t xml:space="preserve"> Gadījumā, ja  nav pielīdzināms esošajai situācijai, tad  pamatotu aprēķinu veic sertificēts energoauditors. Sertificētā energoauditora aprēķinu pievieno projekta iesniegumam</t>
    </r>
  </si>
  <si>
    <t>skatīt piezīmi, ja plānotā situācija atšķiras no esošās</t>
  </si>
  <si>
    <t>Projekta īstenošanas dzīvojamās mājas vai dzīvokļa īpatnējais apkures patēriņš►</t>
  </si>
  <si>
    <r>
      <t>kWh/m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gadā</t>
    </r>
  </si>
  <si>
    <r>
      <rPr>
        <sz val="10"/>
        <color rgb="FFFF0000"/>
        <rFont val="Times New Roman"/>
        <family val="1"/>
        <charset val="186"/>
      </rPr>
      <t>NB!</t>
    </r>
    <r>
      <rPr>
        <sz val="10"/>
        <color theme="1"/>
        <rFont val="Times New Roman"/>
        <family val="1"/>
        <charset val="186"/>
      </rPr>
      <t xml:space="preserve"> Šūnā izvēlas MK noteikumu 42.1, 42.2., 42.3., 42.4. apakšpunktā minēto iekārtu ►</t>
    </r>
  </si>
  <si>
    <t>42.1. tāda koksnes biomasas apkures katla iegāde, kas piemērots granulu kurināmajam</t>
  </si>
  <si>
    <r>
      <t xml:space="preserve">Dzīvojamā māja atbilst apkures patēriņa E klasei vai efektīvākai klasei ►
</t>
    </r>
    <r>
      <rPr>
        <sz val="10"/>
        <color rgb="FFFF3300"/>
        <rFont val="Times New Roman"/>
        <family val="1"/>
        <charset val="186"/>
      </rPr>
      <t>NB!</t>
    </r>
    <r>
      <rPr>
        <sz val="10"/>
        <rFont val="Times New Roman"/>
        <family val="1"/>
        <charset val="186"/>
      </rPr>
      <t xml:space="preserve"> Informācija šūnā ir attiecināma tikai, ja dati ir par visu dzīvojamo māju</t>
    </r>
  </si>
  <si>
    <t>emisijas faktors ►</t>
  </si>
  <si>
    <t>g/MWh</t>
  </si>
  <si>
    <t>Daļiņu PM2,5 emisijas pirms projekta īstenošanas ►</t>
  </si>
  <si>
    <t>t/gadā</t>
  </si>
  <si>
    <t>Daļiņu PM2,5 emisijas pēc projekta īstenošanas ►</t>
  </si>
  <si>
    <t>KK 4.3.punkti</t>
  </si>
  <si>
    <t>cieš.m3</t>
  </si>
  <si>
    <t>Saskaņot ar Word 4.piezīmi</t>
  </si>
  <si>
    <r>
      <t>PM</t>
    </r>
    <r>
      <rPr>
        <vertAlign val="subscript"/>
        <sz val="11"/>
        <color theme="1"/>
        <rFont val="Times New Roman"/>
        <family val="1"/>
        <charset val="186"/>
      </rPr>
      <t>2,5</t>
    </r>
  </si>
  <si>
    <t>Lietderības koef</t>
  </si>
  <si>
    <t>malka</t>
  </si>
  <si>
    <t>Koksnes biomasas kamīns (atvērtais)</t>
  </si>
  <si>
    <t>Koksnes biomasas krāsns (parastā, izstarojošā, piemēram, virtuves plīts)</t>
  </si>
  <si>
    <t>m2</t>
  </si>
  <si>
    <t>Koksnes biomasas krāsns (mūra, akumulējošā, piemēram, podiņkrāsns)</t>
  </si>
  <si>
    <t>Koksnes biomasas apkures katls (malka, koksnes atkritumi, briketes)</t>
  </si>
  <si>
    <t>42.2. siltumsūkņa (zeme–ūdens, ūdens–ūdens vai gaiss–ūdens) iegāde</t>
  </si>
  <si>
    <t>Koksnes biomasas apkures katls (granulas)</t>
  </si>
  <si>
    <t>42.3. pieslēguma centralizētai siltumapgādes sistēmai projektēšana un izveidošana</t>
  </si>
  <si>
    <t>42.4. siltumsūkņa (gaiss–gaiss) iegāde un uzstādīšana</t>
  </si>
  <si>
    <t>Kūdras kurināmā apkures iekārtas</t>
  </si>
  <si>
    <t>Ja iekārta nav vizuāli idenficējama vai nav augstāk minēta</t>
  </si>
  <si>
    <t>Kurināmais</t>
  </si>
  <si>
    <t>zemākā siltumspēja</t>
  </si>
  <si>
    <t>Malka (10% mitrums)</t>
  </si>
  <si>
    <t>MWh/cieš. m3</t>
  </si>
  <si>
    <t>MWh/cieš.  m3</t>
  </si>
  <si>
    <t>Malka (30% mitrums)</t>
  </si>
  <si>
    <t>t</t>
  </si>
  <si>
    <t>Malka (40% mitrums)</t>
  </si>
  <si>
    <t>Malka (51% mitrums)</t>
  </si>
  <si>
    <t>Malka (55% mitrums)</t>
  </si>
  <si>
    <t>Koksnes atlikumi</t>
  </si>
  <si>
    <t>MWh/ber.m3</t>
  </si>
  <si>
    <t>Kurināmā šķelda</t>
  </si>
  <si>
    <t>Koksnes briketes</t>
  </si>
  <si>
    <t>MWh/t</t>
  </si>
  <si>
    <t>Koksnes granulas</t>
  </si>
  <si>
    <t xml:space="preserve">Kūdra </t>
  </si>
  <si>
    <t>Kūdras briketes</t>
  </si>
  <si>
    <t>MWh/cieš.m3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</si>
</sst>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3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8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0" tint="-0.34998626667073579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b/>
      <sz val="26"/>
      <color rgb="FF000000"/>
      <name val="Times New Roman"/>
      <family val="1"/>
      <charset val="186"/>
    </font>
    <font>
      <sz val="8"/>
      <color rgb="FFFF3300"/>
      <name val="Times New Roman"/>
      <family val="1"/>
      <charset val="186"/>
    </font>
    <font>
      <sz val="10"/>
      <color rgb="FFFF3300"/>
      <name val="Times New Roman"/>
      <family val="1"/>
      <charset val="186"/>
    </font>
    <font>
      <sz val="10"/>
      <color rgb="FF000000"/>
      <name val="Times New Roman"/>
    </font>
    <font>
      <sz val="10"/>
      <color rgb="FFFF3300"/>
      <name val="Times New Roman"/>
    </font>
    <font>
      <sz val="1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</cellStyleXfs>
  <cellXfs count="143">
    <xf numFmtId="0" fontId="0" fillId="0" borderId="0" xfId="0"/>
    <xf numFmtId="0" fontId="7" fillId="0" borderId="0" xfId="0" applyFont="1"/>
    <xf numFmtId="0" fontId="6" fillId="3" borderId="0" xfId="0" applyFont="1" applyFill="1"/>
    <xf numFmtId="0" fontId="5" fillId="3" borderId="0" xfId="0" applyFont="1" applyFill="1"/>
    <xf numFmtId="0" fontId="11" fillId="3" borderId="0" xfId="0" applyFont="1" applyFill="1" applyAlignment="1">
      <alignment horizontal="center" vertical="center"/>
    </xf>
    <xf numFmtId="0" fontId="7" fillId="3" borderId="0" xfId="0" applyFont="1" applyFill="1"/>
    <xf numFmtId="0" fontId="13" fillId="0" borderId="0" xfId="0" applyFont="1"/>
    <xf numFmtId="165" fontId="12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16" fillId="3" borderId="0" xfId="0" applyFont="1" applyFill="1"/>
    <xf numFmtId="0" fontId="10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5" borderId="4" xfId="0" applyFont="1" applyFill="1" applyBorder="1" applyAlignment="1">
      <alignment wrapText="1"/>
    </xf>
    <xf numFmtId="0" fontId="7" fillId="5" borderId="4" xfId="0" applyFont="1" applyFill="1" applyBorder="1"/>
    <xf numFmtId="0" fontId="13" fillId="0" borderId="4" xfId="0" applyFont="1" applyBorder="1" applyAlignment="1">
      <alignment horizontal="center"/>
    </xf>
    <xf numFmtId="9" fontId="13" fillId="0" borderId="4" xfId="0" applyNumberFormat="1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vertical="center" wrapText="1"/>
      <protection locked="0"/>
    </xf>
    <xf numFmtId="166" fontId="7" fillId="0" borderId="4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 applyProtection="1">
      <alignment vertical="center" wrapText="1"/>
      <protection locked="0"/>
    </xf>
    <xf numFmtId="165" fontId="12" fillId="0" borderId="0" xfId="0" applyNumberFormat="1" applyFont="1" applyAlignment="1" applyProtection="1">
      <alignment wrapText="1"/>
      <protection locked="0"/>
    </xf>
    <xf numFmtId="164" fontId="7" fillId="0" borderId="0" xfId="0" applyNumberFormat="1" applyFont="1"/>
    <xf numFmtId="0" fontId="25" fillId="0" borderId="0" xfId="0" applyFont="1"/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9" fillId="0" borderId="0" xfId="0" applyFont="1" applyAlignment="1" applyProtection="1">
      <alignment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9" fontId="13" fillId="0" borderId="0" xfId="1" applyFont="1"/>
    <xf numFmtId="0" fontId="2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8" borderId="0" xfId="0" applyFont="1" applyFill="1"/>
    <xf numFmtId="0" fontId="6" fillId="8" borderId="0" xfId="0" applyFont="1" applyFill="1"/>
    <xf numFmtId="0" fontId="5" fillId="8" borderId="0" xfId="0" applyFont="1" applyFill="1"/>
    <xf numFmtId="0" fontId="13" fillId="8" borderId="0" xfId="0" applyFont="1" applyFill="1"/>
    <xf numFmtId="0" fontId="13" fillId="8" borderId="0" xfId="0" applyFont="1" applyFill="1" applyAlignment="1">
      <alignment vertical="top"/>
    </xf>
    <xf numFmtId="0" fontId="12" fillId="2" borderId="4" xfId="0" applyFont="1" applyFill="1" applyBorder="1" applyAlignment="1">
      <alignment horizontal="right"/>
    </xf>
    <xf numFmtId="0" fontId="20" fillId="7" borderId="17" xfId="0" applyFont="1" applyFill="1" applyBorder="1" applyAlignment="1">
      <alignment horizontal="center"/>
    </xf>
    <xf numFmtId="0" fontId="8" fillId="0" borderId="5" xfId="0" applyFont="1" applyBorder="1" applyAlignment="1" applyProtection="1">
      <alignment vertical="center" wrapText="1"/>
      <protection locked="0"/>
    </xf>
    <xf numFmtId="0" fontId="12" fillId="10" borderId="4" xfId="0" applyFont="1" applyFill="1" applyBorder="1" applyAlignment="1">
      <alignment horizontal="right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 applyProtection="1">
      <alignment horizontal="center" wrapText="1"/>
      <protection locked="0"/>
    </xf>
    <xf numFmtId="0" fontId="29" fillId="0" borderId="1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6" fontId="24" fillId="6" borderId="16" xfId="0" applyNumberFormat="1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165" fontId="12" fillId="0" borderId="0" xfId="0" applyNumberFormat="1" applyFont="1" applyAlignment="1" applyProtection="1">
      <alignment horizontal="left" wrapText="1"/>
      <protection locked="0"/>
    </xf>
    <xf numFmtId="0" fontId="10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7" fillId="11" borderId="0" xfId="0" applyFont="1" applyFill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6" fillId="10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11" borderId="2" xfId="0" applyFont="1" applyFill="1" applyBorder="1" applyAlignment="1" applyProtection="1">
      <alignment horizontal="center" vertical="center" wrapText="1"/>
      <protection locked="0"/>
    </xf>
    <xf numFmtId="0" fontId="8" fillId="11" borderId="32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7" fillId="10" borderId="0" xfId="0" applyFont="1" applyFill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6" fontId="6" fillId="2" borderId="26" xfId="0" applyNumberFormat="1" applyFont="1" applyFill="1" applyBorder="1" applyAlignment="1">
      <alignment horizontal="center" vertical="center"/>
    </xf>
    <xf numFmtId="166" fontId="6" fillId="2" borderId="30" xfId="0" applyNumberFormat="1" applyFont="1" applyFill="1" applyBorder="1" applyAlignment="1">
      <alignment horizontal="center" vertical="center"/>
    </xf>
    <xf numFmtId="166" fontId="6" fillId="2" borderId="27" xfId="0" applyNumberFormat="1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/>
    </xf>
    <xf numFmtId="0" fontId="7" fillId="8" borderId="31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27" fillId="0" borderId="0" xfId="0" applyFont="1" applyAlignment="1" applyProtection="1">
      <alignment horizont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wrapText="1"/>
      <protection locked="0"/>
    </xf>
    <xf numFmtId="166" fontId="7" fillId="0" borderId="26" xfId="0" applyNumberFormat="1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12" xfId="0" applyFont="1" applyBorder="1" applyAlignment="1">
      <alignment horizontal="right" vertical="center" wrapTex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164" fontId="26" fillId="0" borderId="20" xfId="0" applyNumberFormat="1" applyFon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28" fillId="9" borderId="22" xfId="0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right" wrapText="1"/>
    </xf>
    <xf numFmtId="166" fontId="7" fillId="0" borderId="20" xfId="0" applyNumberFormat="1" applyFont="1" applyBorder="1" applyAlignment="1">
      <alignment horizontal="center" vertical="center"/>
    </xf>
    <xf numFmtId="166" fontId="7" fillId="0" borderId="2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3" borderId="33" xfId="1" applyNumberFormat="1" applyFont="1" applyFill="1" applyBorder="1" applyAlignment="1">
      <alignment horizontal="center"/>
    </xf>
    <xf numFmtId="2" fontId="7" fillId="3" borderId="13" xfId="1" applyNumberFormat="1" applyFont="1" applyFill="1" applyBorder="1" applyAlignment="1">
      <alignment horizontal="center"/>
    </xf>
    <xf numFmtId="165" fontId="12" fillId="0" borderId="0" xfId="0" applyNumberFormat="1" applyFont="1" applyAlignment="1" applyProtection="1">
      <alignment horizontal="right" wrapText="1"/>
      <protection locked="0"/>
    </xf>
    <xf numFmtId="0" fontId="27" fillId="0" borderId="0" xfId="0" applyFont="1" applyAlignment="1">
      <alignment horizontal="righ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>
      <alignment horizontal="right" wrapText="1"/>
    </xf>
    <xf numFmtId="0" fontId="19" fillId="0" borderId="1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2000000}"/>
    <cellStyle name="Normal 3 5" xfId="4" xr:uid="{00000000-0005-0000-0000-000003000000}"/>
    <cellStyle name="Per cent" xfId="1" builtinId="5"/>
    <cellStyle name="Standard_HWB Kurzverf. Formular" xfId="2" xr:uid="{00000000-0005-0000-0000-000005000000}"/>
  </cellStyles>
  <dxfs count="3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FFFF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1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279501</xdr:colOff>
      <xdr:row>32</xdr:row>
      <xdr:rowOff>160531</xdr:rowOff>
    </xdr:from>
    <xdr:to>
      <xdr:col>15</xdr:col>
      <xdr:colOff>1324625</xdr:colOff>
      <xdr:row>40</xdr:row>
      <xdr:rowOff>141766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AD2C-944F-4993-A576-5FCAA02F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6617" y="8267857"/>
          <a:ext cx="5455295" cy="1398909"/>
        </a:xfrm>
        <a:prstGeom prst="rect">
          <a:avLst/>
        </a:prstGeom>
      </xdr:spPr>
    </xdr:pic>
    <xdr:clientData/>
  </xdr:twoCellAnchor>
  <xdr:twoCellAnchor editAs="oneCell">
    <xdr:from>
      <xdr:col>1</xdr:col>
      <xdr:colOff>412926</xdr:colOff>
      <xdr:row>31</xdr:row>
      <xdr:rowOff>131620</xdr:rowOff>
    </xdr:from>
    <xdr:to>
      <xdr:col>5</xdr:col>
      <xdr:colOff>423554</xdr:colOff>
      <xdr:row>54</xdr:row>
      <xdr:rowOff>8134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10C261-2B83-9A9B-A288-80B4F5A9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926" y="5417129"/>
          <a:ext cx="4655712" cy="3859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365760</xdr:colOff>
      <xdr:row>18</xdr:row>
      <xdr:rowOff>135754</xdr:rowOff>
    </xdr:from>
    <xdr:to>
      <xdr:col>11</xdr:col>
      <xdr:colOff>144780</xdr:colOff>
      <xdr:row>38</xdr:row>
      <xdr:rowOff>38261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32801-0717-48B3-8444-9267A7A9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8680" y="3633334"/>
          <a:ext cx="4305300" cy="3567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N75"/>
  <sheetViews>
    <sheetView showGridLines="0" tabSelected="1" zoomScale="80" zoomScaleNormal="80" zoomScaleSheetLayoutView="90" workbookViewId="0">
      <selection activeCell="R17" sqref="R17"/>
    </sheetView>
  </sheetViews>
  <sheetFormatPr defaultColWidth="8.85546875" defaultRowHeight="15"/>
  <cols>
    <col min="1" max="1" width="1.28515625" style="45" customWidth="1"/>
    <col min="2" max="2" width="23.5703125" style="1" customWidth="1"/>
    <col min="3" max="3" width="19.7109375" style="1" customWidth="1"/>
    <col min="4" max="4" width="10.28515625" style="1" customWidth="1"/>
    <col min="5" max="5" width="13.7109375" style="1" customWidth="1"/>
    <col min="6" max="6" width="13" style="1" customWidth="1"/>
    <col min="7" max="7" width="15.28515625" style="1" customWidth="1"/>
    <col min="8" max="9" width="9.5703125" style="1" customWidth="1"/>
    <col min="10" max="10" width="7.7109375" style="1" customWidth="1"/>
    <col min="11" max="11" width="4.85546875" style="1" customWidth="1"/>
    <col min="12" max="12" width="10.28515625" style="1" customWidth="1"/>
    <col min="13" max="13" width="13.7109375" style="1" customWidth="1"/>
    <col min="14" max="14" width="14.7109375" style="1" customWidth="1"/>
    <col min="15" max="15" width="13" style="1" customWidth="1"/>
    <col min="16" max="16" width="22" style="1" customWidth="1"/>
    <col min="17" max="18" width="9.5703125" style="1" customWidth="1"/>
    <col min="19" max="19" width="5.42578125" style="1" customWidth="1"/>
    <col min="20" max="20" width="10.140625" style="1" customWidth="1"/>
    <col min="21" max="21" width="8.85546875" style="1"/>
    <col min="22" max="40" width="8.85546875" style="45"/>
    <col min="41" max="16384" width="8.85546875" style="1"/>
  </cols>
  <sheetData>
    <row r="1" spans="1:40" s="45" customFormat="1" ht="4.1500000000000004" customHeight="1">
      <c r="B1" s="48"/>
      <c r="C1" s="49"/>
      <c r="D1" s="48"/>
      <c r="E1" s="48"/>
      <c r="F1" s="48"/>
      <c r="G1" s="48"/>
      <c r="H1" s="48"/>
      <c r="I1" s="48"/>
      <c r="J1" s="48"/>
      <c r="L1" s="48"/>
      <c r="M1" s="48"/>
      <c r="N1" s="48"/>
      <c r="O1" s="48"/>
      <c r="P1" s="48"/>
      <c r="Q1" s="48"/>
      <c r="R1" s="48"/>
    </row>
    <row r="2" spans="1:40" ht="22.5">
      <c r="B2" s="56" t="s">
        <v>0</v>
      </c>
      <c r="C2" s="57"/>
      <c r="D2" s="57"/>
      <c r="E2" s="57"/>
      <c r="F2" s="62" t="s">
        <v>1</v>
      </c>
      <c r="G2" s="62"/>
      <c r="H2" s="62"/>
      <c r="I2" s="62"/>
      <c r="J2" s="62"/>
      <c r="K2" s="63"/>
      <c r="L2" s="42"/>
      <c r="M2" s="74" t="s">
        <v>2</v>
      </c>
      <c r="N2" s="75"/>
      <c r="O2" s="75"/>
      <c r="P2" s="75"/>
      <c r="Q2" s="75"/>
      <c r="R2" s="75"/>
      <c r="S2" s="75"/>
      <c r="T2" s="75"/>
      <c r="U2" s="76"/>
    </row>
    <row r="3" spans="1:40" s="2" customFormat="1" ht="15.6" customHeight="1">
      <c r="A3" s="46"/>
      <c r="B3" s="58"/>
      <c r="C3" s="59"/>
      <c r="D3" s="59"/>
      <c r="E3" s="59"/>
      <c r="F3" s="93" t="s">
        <v>3</v>
      </c>
      <c r="G3" s="93"/>
      <c r="H3" s="93"/>
      <c r="I3" s="93"/>
      <c r="J3" s="93"/>
      <c r="K3" s="94"/>
      <c r="L3" s="42"/>
      <c r="M3" s="77"/>
      <c r="N3" s="78"/>
      <c r="O3" s="78"/>
      <c r="P3" s="78"/>
      <c r="Q3" s="78"/>
      <c r="R3" s="78"/>
      <c r="S3" s="78"/>
      <c r="T3" s="78"/>
      <c r="U3" s="79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40" s="2" customFormat="1" ht="15.6" customHeight="1">
      <c r="A4" s="46"/>
      <c r="B4" s="58"/>
      <c r="C4" s="59"/>
      <c r="D4" s="59"/>
      <c r="E4" s="59"/>
      <c r="F4" s="72" t="s">
        <v>4</v>
      </c>
      <c r="G4" s="72"/>
      <c r="H4" s="72"/>
      <c r="I4" s="72"/>
      <c r="J4" s="72"/>
      <c r="K4" s="73"/>
      <c r="L4" s="42"/>
      <c r="M4" s="80"/>
      <c r="N4" s="81"/>
      <c r="O4" s="81"/>
      <c r="P4" s="81"/>
      <c r="Q4" s="81"/>
      <c r="R4" s="81"/>
      <c r="S4" s="81"/>
      <c r="T4" s="81"/>
      <c r="U4" s="82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s="2" customFormat="1" ht="15.6" customHeight="1">
      <c r="A5" s="46"/>
      <c r="B5" s="60"/>
      <c r="C5" s="61"/>
      <c r="D5" s="61"/>
      <c r="E5" s="61"/>
      <c r="F5" s="64" t="s">
        <v>5</v>
      </c>
      <c r="G5" s="64"/>
      <c r="H5" s="64"/>
      <c r="I5" s="64"/>
      <c r="J5" s="64"/>
      <c r="K5" s="65"/>
      <c r="L5" s="42"/>
      <c r="M5" s="66">
        <f>ROUND((H29-Q29),3)</f>
        <v>2.4E-2</v>
      </c>
      <c r="N5" s="67"/>
      <c r="O5" s="67"/>
      <c r="P5" s="67"/>
      <c r="Q5" s="67"/>
      <c r="R5" s="67"/>
      <c r="S5" s="67"/>
      <c r="T5" s="67"/>
      <c r="U5" s="68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40" s="3" customFormat="1" ht="5.45" customHeight="1" thickBot="1">
      <c r="A6" s="47"/>
      <c r="C6" s="4"/>
      <c r="D6" s="4"/>
      <c r="E6" s="4"/>
      <c r="F6" s="4"/>
      <c r="G6" s="4"/>
      <c r="H6" s="4"/>
      <c r="I6" s="4"/>
      <c r="J6" s="4"/>
      <c r="K6" s="24"/>
      <c r="L6" s="4"/>
      <c r="M6" s="24"/>
      <c r="N6" s="24"/>
      <c r="O6" s="24"/>
      <c r="P6" s="24"/>
      <c r="Q6" s="24"/>
      <c r="R6" s="24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</row>
    <row r="7" spans="1:40" ht="16.5" thickBot="1">
      <c r="C7" s="70" t="s">
        <v>6</v>
      </c>
      <c r="D7" s="70"/>
      <c r="E7" s="71"/>
      <c r="F7" s="84" t="s">
        <v>7</v>
      </c>
      <c r="G7" s="84"/>
      <c r="H7" s="84"/>
      <c r="I7" s="84"/>
      <c r="J7" s="84"/>
      <c r="K7" s="28"/>
      <c r="L7" s="23"/>
      <c r="M7" s="85" t="s">
        <v>8</v>
      </c>
      <c r="N7" s="85"/>
      <c r="O7" s="85"/>
      <c r="P7" s="85"/>
      <c r="Q7" s="85"/>
      <c r="R7" s="85"/>
      <c r="S7" s="86"/>
      <c r="T7" s="51">
        <f>+Dati!G17</f>
        <v>9</v>
      </c>
      <c r="U7" s="1" t="s">
        <v>9</v>
      </c>
    </row>
    <row r="8" spans="1:40" ht="15.75" customHeight="1">
      <c r="B8" s="23"/>
      <c r="C8" s="70" t="s">
        <v>10</v>
      </c>
      <c r="D8" s="70"/>
      <c r="E8" s="70"/>
      <c r="F8" s="70"/>
      <c r="G8" s="70"/>
      <c r="H8" s="71"/>
      <c r="I8" s="53">
        <v>135</v>
      </c>
      <c r="J8" s="1" t="s">
        <v>11</v>
      </c>
      <c r="K8" s="83" t="str">
        <f>IF(I8&lt;50,"Neatbilst","")</f>
        <v/>
      </c>
      <c r="L8" s="83"/>
    </row>
    <row r="9" spans="1:40" ht="14.45" customHeight="1">
      <c r="B9" s="23"/>
      <c r="C9" s="85" t="s">
        <v>12</v>
      </c>
      <c r="D9" s="85"/>
      <c r="E9" s="85"/>
      <c r="F9" s="85"/>
      <c r="G9" s="85"/>
      <c r="H9" s="87"/>
      <c r="I9" s="53">
        <v>18</v>
      </c>
      <c r="J9" s="1" t="s">
        <v>13</v>
      </c>
      <c r="K9" s="43"/>
      <c r="L9" s="44"/>
      <c r="M9" s="23"/>
      <c r="N9" s="85" t="s">
        <v>14</v>
      </c>
      <c r="O9" s="85"/>
      <c r="P9" s="85"/>
      <c r="Q9" s="85"/>
      <c r="R9" s="85"/>
      <c r="S9" s="87"/>
      <c r="T9" s="50">
        <v>5.0999999999999996</v>
      </c>
      <c r="U9" s="1" t="s">
        <v>9</v>
      </c>
    </row>
    <row r="10" spans="1:40" ht="14.45" customHeight="1">
      <c r="B10" s="23"/>
      <c r="C10" s="85" t="s">
        <v>15</v>
      </c>
      <c r="D10" s="85"/>
      <c r="E10" s="85"/>
      <c r="F10" s="85"/>
      <c r="G10" s="85"/>
      <c r="H10" s="87"/>
      <c r="I10" s="50"/>
      <c r="J10" s="1" t="s">
        <v>9</v>
      </c>
      <c r="K10" s="83" t="str">
        <f>IF(I10&gt;50,"Neatbilst","")</f>
        <v/>
      </c>
      <c r="L10" s="83"/>
      <c r="N10" s="133" t="s">
        <v>16</v>
      </c>
      <c r="O10" s="133"/>
      <c r="P10" s="133"/>
      <c r="Q10" s="133"/>
      <c r="R10" s="133"/>
      <c r="S10" s="134"/>
      <c r="T10" s="50">
        <v>3675</v>
      </c>
      <c r="U10" s="1" t="s">
        <v>17</v>
      </c>
    </row>
    <row r="11" spans="1:40" s="5" customFormat="1" ht="4.1500000000000004" customHeight="1">
      <c r="A11" s="4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T11" s="135">
        <f>($T10/($T9*900)*100)</f>
        <v>80.06535947712419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1:40" s="5" customFormat="1" ht="13.9" customHeight="1">
      <c r="A12" s="45"/>
      <c r="C12" s="7"/>
      <c r="D12" s="55" t="s">
        <v>18</v>
      </c>
      <c r="E12" s="55"/>
      <c r="F12" s="55"/>
      <c r="G12" s="55"/>
      <c r="H12" s="33"/>
      <c r="I12" s="33"/>
      <c r="J12" s="33"/>
      <c r="K12" s="7"/>
      <c r="L12" s="55" t="s">
        <v>19</v>
      </c>
      <c r="M12" s="55"/>
      <c r="N12" s="55"/>
      <c r="O12" s="55"/>
      <c r="P12" s="33"/>
      <c r="Q12" s="137" t="s">
        <v>20</v>
      </c>
      <c r="R12" s="137"/>
      <c r="S12" s="137"/>
      <c r="T12" s="136"/>
      <c r="U12" s="5" t="s">
        <v>21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1:40" s="2" customFormat="1" ht="15.6" customHeight="1">
      <c r="A13" s="46"/>
      <c r="B13" s="129" t="s">
        <v>22</v>
      </c>
      <c r="C13" s="140"/>
      <c r="D13" s="139" t="s">
        <v>23</v>
      </c>
      <c r="E13" s="139"/>
      <c r="F13" s="139"/>
      <c r="G13" s="139"/>
      <c r="H13" s="32"/>
      <c r="I13" s="32"/>
      <c r="J13" s="32"/>
      <c r="K13" s="26"/>
      <c r="L13" s="90" t="s">
        <v>24</v>
      </c>
      <c r="M13" s="91"/>
      <c r="N13" s="91"/>
      <c r="O13" s="92"/>
      <c r="P13" s="32"/>
      <c r="Q13" s="137"/>
      <c r="R13" s="137"/>
      <c r="S13" s="137"/>
      <c r="T13" s="38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</row>
    <row r="14" spans="1:40" s="2" customFormat="1" ht="31.15" customHeight="1">
      <c r="A14" s="46"/>
      <c r="B14" s="120" t="s">
        <v>25</v>
      </c>
      <c r="C14" s="141"/>
      <c r="D14" s="139" t="s">
        <v>26</v>
      </c>
      <c r="E14" s="139"/>
      <c r="F14" s="139"/>
      <c r="G14" s="139"/>
      <c r="H14" s="32"/>
      <c r="I14" s="32"/>
      <c r="J14" s="32"/>
      <c r="K14" s="25"/>
      <c r="L14" s="90" t="s">
        <v>27</v>
      </c>
      <c r="M14" s="91"/>
      <c r="N14" s="91"/>
      <c r="O14" s="92"/>
      <c r="P14" s="32"/>
      <c r="Q14" s="39"/>
      <c r="R14" s="39"/>
      <c r="S14" s="39"/>
      <c r="T14" s="39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5" spans="1:40" s="2" customFormat="1" ht="15.75">
      <c r="A15" s="46"/>
      <c r="B15" s="129" t="s">
        <v>28</v>
      </c>
      <c r="C15" s="140"/>
      <c r="D15" s="139" t="s">
        <v>29</v>
      </c>
      <c r="E15" s="139"/>
      <c r="F15" s="139"/>
      <c r="G15" s="139"/>
      <c r="H15" s="88"/>
      <c r="I15" s="89"/>
      <c r="J15" s="89"/>
      <c r="K15" s="25"/>
      <c r="L15" s="90" t="s">
        <v>29</v>
      </c>
      <c r="M15" s="91"/>
      <c r="N15" s="91"/>
      <c r="O15" s="92"/>
      <c r="P15" s="32"/>
      <c r="Q15" s="32"/>
      <c r="R15" s="32"/>
      <c r="S15" s="32"/>
      <c r="T15" s="32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 spans="1:40" s="2" customFormat="1" ht="15.6" customHeight="1">
      <c r="A16" s="46"/>
      <c r="B16" s="120" t="s">
        <v>30</v>
      </c>
      <c r="C16" s="121"/>
      <c r="D16" s="22">
        <v>2020</v>
      </c>
      <c r="E16" s="54">
        <v>6</v>
      </c>
      <c r="F16" s="29" t="str">
        <f>D15</f>
        <v>ber.m3</v>
      </c>
      <c r="G16" s="108"/>
      <c r="H16" s="108"/>
      <c r="I16" s="108"/>
      <c r="J16" s="108"/>
      <c r="K16" s="25"/>
      <c r="L16" s="22">
        <v>2020</v>
      </c>
      <c r="M16" s="36">
        <v>1</v>
      </c>
      <c r="N16" s="29" t="str">
        <f>L15</f>
        <v>ber.m3</v>
      </c>
      <c r="O16" s="20"/>
      <c r="P16" s="20"/>
      <c r="R16" s="32"/>
      <c r="S16" s="32"/>
      <c r="T16" s="32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s="2" customFormat="1" ht="15.75">
      <c r="A17" s="46"/>
      <c r="B17" s="120"/>
      <c r="C17" s="121"/>
      <c r="D17" s="21">
        <v>2021</v>
      </c>
      <c r="E17" s="54">
        <v>10</v>
      </c>
      <c r="F17" s="29" t="str">
        <f>D15</f>
        <v>ber.m3</v>
      </c>
      <c r="G17" s="108"/>
      <c r="H17" s="108"/>
      <c r="I17" s="108"/>
      <c r="J17" s="108"/>
      <c r="K17" s="25"/>
      <c r="L17" s="21">
        <v>2021</v>
      </c>
      <c r="M17" s="37">
        <v>1</v>
      </c>
      <c r="N17" s="29" t="str">
        <f>L15</f>
        <v>ber.m3</v>
      </c>
      <c r="O17" s="20"/>
      <c r="P17" s="20"/>
      <c r="Q17" s="20"/>
      <c r="R17" s="20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</row>
    <row r="18" spans="1:40" s="2" customFormat="1" ht="15.75">
      <c r="A18" s="46"/>
      <c r="B18" s="120"/>
      <c r="C18" s="121"/>
      <c r="D18" s="21">
        <v>2022</v>
      </c>
      <c r="E18" s="54">
        <v>6</v>
      </c>
      <c r="F18" s="29" t="str">
        <f>D15</f>
        <v>ber.m3</v>
      </c>
      <c r="G18" s="108"/>
      <c r="H18" s="108"/>
      <c r="I18" s="108"/>
      <c r="J18" s="108"/>
      <c r="K18" s="25"/>
      <c r="L18" s="21">
        <v>2022</v>
      </c>
      <c r="M18" s="37">
        <v>1</v>
      </c>
      <c r="N18" s="29" t="str">
        <f>L15</f>
        <v>ber.m3</v>
      </c>
      <c r="O18" s="20"/>
      <c r="P18" s="20"/>
      <c r="Q18" s="20"/>
      <c r="R18" s="20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s="2" customFormat="1" ht="15.75">
      <c r="A19" s="46"/>
      <c r="B19" s="129" t="s">
        <v>31</v>
      </c>
      <c r="C19" s="129"/>
      <c r="D19" s="129"/>
      <c r="E19" s="40">
        <f>AVERAGE(E16:E18)</f>
        <v>7.333333333333333</v>
      </c>
      <c r="F19" s="29" t="str">
        <f>D15</f>
        <v>ber.m3</v>
      </c>
      <c r="G19" s="108"/>
      <c r="H19" s="108"/>
      <c r="I19" s="108"/>
      <c r="J19" s="108"/>
      <c r="K19" s="25"/>
      <c r="L19" s="25"/>
      <c r="M19" s="40">
        <f>IFERROR(AVERAGE(M16:M18),0)</f>
        <v>1</v>
      </c>
      <c r="N19" s="29" t="str">
        <f>L15</f>
        <v>ber.m3</v>
      </c>
      <c r="O19" s="20"/>
      <c r="P19" s="20"/>
      <c r="Q19" s="20"/>
      <c r="R19" s="20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</row>
    <row r="20" spans="1:40" s="2" customFormat="1" ht="32.25" customHeight="1">
      <c r="A20" s="46"/>
      <c r="B20" s="138" t="s">
        <v>32</v>
      </c>
      <c r="C20" s="138"/>
      <c r="D20" s="138"/>
      <c r="E20" s="21">
        <f>VLOOKUP('Projekta dati'!D13,Dati!B14:D26,2,FALSE)</f>
        <v>3.9340000000000002</v>
      </c>
      <c r="F20" s="52" t="str">
        <f>VLOOKUP(D15,Dati!D27:E29,2,FALSE)</f>
        <v>MWh/ber.m3</v>
      </c>
      <c r="G20" s="32"/>
      <c r="H20" s="20"/>
      <c r="I20" s="20"/>
      <c r="J20" s="20"/>
      <c r="K20" s="25"/>
      <c r="L20" s="25"/>
      <c r="M20" s="21">
        <f>IFERROR(VLOOKUP('Projekta dati'!L13,Dati!B14:D26,2,FALSE),0)</f>
        <v>6.6369999999999996</v>
      </c>
      <c r="N20" s="32" t="str">
        <f>VLOOKUP(L15,Dati!D27:E29,2,FALSE)</f>
        <v>MWh/ber.m3</v>
      </c>
      <c r="O20" s="32"/>
      <c r="P20" s="20"/>
      <c r="Q20" s="20"/>
      <c r="R20" s="20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s="2" customFormat="1" ht="37.5" customHeight="1">
      <c r="A21" s="46"/>
      <c r="B21" s="138" t="s">
        <v>33</v>
      </c>
      <c r="C21" s="138"/>
      <c r="D21" s="138"/>
      <c r="E21" s="21">
        <f>VLOOKUP(D14,Dati!B3:E11,4,FALSE)</f>
        <v>0.65</v>
      </c>
      <c r="F21" s="8"/>
      <c r="G21" s="20"/>
      <c r="H21" s="20"/>
      <c r="I21" s="20"/>
      <c r="J21" s="20"/>
      <c r="K21" s="25"/>
      <c r="L21" s="25"/>
      <c r="M21" s="21">
        <f>IFERROR(VLOOKUP(L14,Dati!B3:E11,4,FALSE),0)</f>
        <v>0.65</v>
      </c>
      <c r="N21" s="8"/>
      <c r="O21" s="20"/>
      <c r="P21" s="20"/>
      <c r="Q21" s="20"/>
      <c r="R21" s="20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</row>
    <row r="22" spans="1:40" s="2" customFormat="1" ht="15.75">
      <c r="A22" s="46"/>
      <c r="B22" s="129" t="s">
        <v>34</v>
      </c>
      <c r="C22" s="129"/>
      <c r="D22" s="129"/>
      <c r="E22" s="21">
        <f>IF(Dati!K2=0,1,IF(Dati!K3=0,1,2.5))</f>
        <v>2.5</v>
      </c>
      <c r="F22" s="8"/>
      <c r="G22" s="103" t="s">
        <v>35</v>
      </c>
      <c r="H22" s="103"/>
      <c r="I22" s="103" t="s">
        <v>36</v>
      </c>
      <c r="J22" s="103"/>
      <c r="K22" s="25"/>
      <c r="L22" s="25"/>
      <c r="M22" s="21">
        <f>IF(Dati!L2=0,1,IF(Dati!L3=0,1,2.5))</f>
        <v>1</v>
      </c>
      <c r="N22" s="8"/>
      <c r="O22" s="103" t="s">
        <v>35</v>
      </c>
      <c r="P22" s="103"/>
      <c r="Q22" s="103" t="s">
        <v>36</v>
      </c>
      <c r="R22" s="103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</row>
    <row r="23" spans="1:40" s="2" customFormat="1" ht="15.75">
      <c r="A23" s="46"/>
      <c r="B23" s="1"/>
      <c r="C23" s="132" t="s">
        <v>37</v>
      </c>
      <c r="D23" s="132"/>
      <c r="E23" s="27">
        <f>E19*E20*E21/E22</f>
        <v>7.5008266666666668</v>
      </c>
      <c r="F23" s="23" t="s">
        <v>38</v>
      </c>
      <c r="G23" s="104">
        <f>VLOOKUP(D14,Dati!B3:E11,2,FALSE)</f>
        <v>2664</v>
      </c>
      <c r="H23" s="105"/>
      <c r="I23" s="106">
        <f>E23*G23/1000000</f>
        <v>1.998220224E-2</v>
      </c>
      <c r="J23" s="107"/>
      <c r="K23" s="1"/>
      <c r="L23" s="41">
        <f>M23/(E23+M23)</f>
        <v>0.36513711668029825</v>
      </c>
      <c r="M23" s="27">
        <f>M19*M20*M21/M22</f>
        <v>4.3140499999999999</v>
      </c>
      <c r="N23" s="23" t="s">
        <v>38</v>
      </c>
      <c r="O23" s="104">
        <f>IFERROR(VLOOKUP(L14,Dati!B3:E11,2,FALSE),0)</f>
        <v>1433</v>
      </c>
      <c r="P23" s="105"/>
      <c r="Q23" s="106">
        <f>IF(L23&gt;30%,M23*O23/1000000,0)</f>
        <v>6.18203365E-3</v>
      </c>
      <c r="R23" s="107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</row>
    <row r="24" spans="1:40" s="2" customFormat="1" ht="9" customHeight="1" thickBot="1">
      <c r="A24" s="46"/>
      <c r="B24" s="1"/>
      <c r="C24" s="14"/>
      <c r="D24" s="14"/>
      <c r="E24" s="14"/>
      <c r="F24" s="1"/>
      <c r="G24" s="1"/>
      <c r="H24" s="1"/>
      <c r="I24" s="1"/>
      <c r="J24" s="1"/>
      <c r="K24" s="1"/>
      <c r="L24" s="1"/>
      <c r="M24" s="14"/>
      <c r="N24" s="1"/>
      <c r="O24" s="1"/>
      <c r="P24" s="1"/>
      <c r="Q24" s="1"/>
      <c r="R24" s="1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</row>
    <row r="25" spans="1:40" s="2" customFormat="1" ht="15.75">
      <c r="A25" s="46"/>
      <c r="B25" s="1"/>
      <c r="C25" s="14"/>
      <c r="D25" s="14"/>
      <c r="E25" s="14"/>
      <c r="F25" s="1"/>
      <c r="G25" s="1"/>
      <c r="H25" s="100" t="s">
        <v>39</v>
      </c>
      <c r="I25" s="102"/>
      <c r="J25" s="1"/>
      <c r="K25" s="1"/>
      <c r="L25" s="1"/>
      <c r="M25" s="14"/>
      <c r="N25" s="1"/>
      <c r="O25" s="1"/>
      <c r="P25" s="1"/>
      <c r="Q25" s="100" t="s">
        <v>40</v>
      </c>
      <c r="R25" s="101"/>
      <c r="S25" s="102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</row>
    <row r="26" spans="1:40" ht="54" customHeight="1">
      <c r="B26" s="96" t="s">
        <v>41</v>
      </c>
      <c r="C26" s="96"/>
      <c r="D26" s="96"/>
      <c r="E26" s="96"/>
      <c r="F26" s="96"/>
      <c r="G26" s="96"/>
      <c r="H26" s="130">
        <f>IF(L23&gt;30%,E23+M23,E23)</f>
        <v>11.814876666666667</v>
      </c>
      <c r="I26" s="131"/>
      <c r="J26" s="23" t="s">
        <v>38</v>
      </c>
      <c r="L26" s="95" t="s">
        <v>42</v>
      </c>
      <c r="M26" s="96"/>
      <c r="N26" s="96"/>
      <c r="O26" s="96"/>
      <c r="P26" s="96"/>
      <c r="Q26" s="97">
        <f>H26</f>
        <v>11.814876666666667</v>
      </c>
      <c r="R26" s="98"/>
      <c r="S26" s="99"/>
      <c r="T26" s="44" t="s">
        <v>38</v>
      </c>
      <c r="U26" s="35" t="s">
        <v>43</v>
      </c>
    </row>
    <row r="27" spans="1:40" ht="33" customHeight="1" thickBot="1">
      <c r="B27" s="96" t="s">
        <v>44</v>
      </c>
      <c r="C27" s="96"/>
      <c r="D27" s="96"/>
      <c r="E27" s="96"/>
      <c r="F27" s="96"/>
      <c r="G27" s="96"/>
      <c r="H27" s="124">
        <f>H26*1000/I8</f>
        <v>87.517604938271603</v>
      </c>
      <c r="I27" s="125"/>
      <c r="J27" s="23" t="s">
        <v>45</v>
      </c>
      <c r="L27" s="111" t="s">
        <v>46</v>
      </c>
      <c r="M27" s="111"/>
      <c r="N27" s="111"/>
      <c r="O27" s="111"/>
      <c r="P27" s="112"/>
      <c r="Q27" s="114" t="s">
        <v>47</v>
      </c>
      <c r="R27" s="115"/>
      <c r="S27" s="115"/>
      <c r="T27" s="115"/>
      <c r="U27" s="116"/>
    </row>
    <row r="28" spans="1:40" ht="31.5" customHeight="1">
      <c r="B28" s="126" t="s">
        <v>48</v>
      </c>
      <c r="C28" s="96"/>
      <c r="D28" s="96"/>
      <c r="E28" s="96"/>
      <c r="F28" s="96"/>
      <c r="G28" s="96"/>
      <c r="H28" s="127" t="str">
        <f>IF(H27&gt;Dati!K5,"NEATBILST","Atbilst")</f>
        <v>Atbilst</v>
      </c>
      <c r="I28" s="128"/>
      <c r="L28" s="13"/>
      <c r="M28" s="113" t="s">
        <v>49</v>
      </c>
      <c r="N28" s="113"/>
      <c r="O28" s="113"/>
      <c r="P28" s="119"/>
      <c r="Q28" s="117">
        <f>IF(Q27=Dati!G6,216,0)</f>
        <v>216</v>
      </c>
      <c r="R28" s="118"/>
      <c r="T28" s="1" t="s">
        <v>50</v>
      </c>
    </row>
    <row r="29" spans="1:40" ht="16.149999999999999" customHeight="1" thickBot="1">
      <c r="B29" s="113" t="s">
        <v>51</v>
      </c>
      <c r="C29" s="113"/>
      <c r="D29" s="113"/>
      <c r="E29" s="113"/>
      <c r="F29" s="113"/>
      <c r="G29" s="113"/>
      <c r="H29" s="122">
        <f>I23+Q23</f>
        <v>2.6164235889999998E-2</v>
      </c>
      <c r="I29" s="123"/>
      <c r="J29" s="23" t="s">
        <v>52</v>
      </c>
      <c r="L29" s="113" t="s">
        <v>53</v>
      </c>
      <c r="M29" s="113"/>
      <c r="N29" s="113"/>
      <c r="O29" s="113"/>
      <c r="P29" s="113"/>
      <c r="Q29" s="109">
        <f>Q26*Q28/1000000</f>
        <v>2.55201336E-3</v>
      </c>
      <c r="R29" s="110"/>
      <c r="T29" s="1" t="s">
        <v>52</v>
      </c>
    </row>
    <row r="31" spans="1:40" s="45" customFormat="1"/>
    <row r="32" spans="1:40" s="45" customFormat="1"/>
    <row r="33" spans="7:8" s="45" customFormat="1"/>
    <row r="34" spans="7:8" s="45" customFormat="1"/>
    <row r="35" spans="7:8" s="45" customFormat="1">
      <c r="G35" s="45" t="s">
        <v>54</v>
      </c>
      <c r="H35" s="45">
        <f>IF(H27&gt;150, 0, IF(AND(H27&gt;=90, H27&lt;=150), 1, 2))</f>
        <v>2</v>
      </c>
    </row>
    <row r="36" spans="7:8" s="45" customFormat="1"/>
    <row r="37" spans="7:8" s="45" customFormat="1"/>
    <row r="38" spans="7:8" s="45" customFormat="1"/>
    <row r="39" spans="7:8" s="45" customFormat="1"/>
    <row r="40" spans="7:8" s="45" customFormat="1"/>
    <row r="41" spans="7:8" s="45" customFormat="1"/>
    <row r="42" spans="7:8" s="45" customFormat="1"/>
    <row r="43" spans="7:8" s="45" customFormat="1"/>
    <row r="44" spans="7:8" s="45" customFormat="1"/>
    <row r="45" spans="7:8" s="45" customFormat="1"/>
    <row r="46" spans="7:8" s="45" customFormat="1"/>
    <row r="47" spans="7:8" s="45" customFormat="1"/>
    <row r="48" spans="7:8" s="45" customFormat="1"/>
    <row r="49" s="45" customFormat="1"/>
    <row r="50" s="45" customFormat="1"/>
    <row r="51" s="45" customFormat="1"/>
    <row r="52" s="45" customFormat="1"/>
    <row r="53" s="45" customFormat="1"/>
    <row r="54" s="45" customFormat="1"/>
    <row r="55" s="45" customFormat="1"/>
    <row r="56" s="45" customFormat="1"/>
    <row r="57" s="45" customFormat="1"/>
    <row r="58" s="45" customFormat="1"/>
    <row r="59" s="45" customFormat="1"/>
    <row r="60" s="45" customFormat="1"/>
    <row r="61" s="45" customFormat="1"/>
    <row r="62" s="45" customFormat="1"/>
    <row r="63" s="45" customFormat="1"/>
    <row r="64" s="45" customFormat="1"/>
    <row r="65" s="45" customFormat="1"/>
    <row r="66" s="45" customFormat="1"/>
    <row r="67" s="45" customFormat="1"/>
    <row r="68" s="45" customFormat="1"/>
    <row r="69" s="45" customFormat="1"/>
    <row r="70" s="45" customFormat="1"/>
    <row r="71" s="45" customFormat="1"/>
    <row r="72" s="45" customFormat="1"/>
    <row r="73" s="45" customFormat="1"/>
    <row r="74" s="45" customFormat="1"/>
    <row r="75" s="45" customFormat="1"/>
  </sheetData>
  <mergeCells count="72">
    <mergeCell ref="N9:S9"/>
    <mergeCell ref="T11:T12"/>
    <mergeCell ref="Q12:S13"/>
    <mergeCell ref="B21:D21"/>
    <mergeCell ref="B20:D20"/>
    <mergeCell ref="B19:D19"/>
    <mergeCell ref="D14:G14"/>
    <mergeCell ref="D13:G13"/>
    <mergeCell ref="D15:G15"/>
    <mergeCell ref="G18:H18"/>
    <mergeCell ref="G19:H19"/>
    <mergeCell ref="I16:J16"/>
    <mergeCell ref="B13:C13"/>
    <mergeCell ref="B14:C14"/>
    <mergeCell ref="B15:C15"/>
    <mergeCell ref="B16:C18"/>
    <mergeCell ref="B29:G29"/>
    <mergeCell ref="H29:I29"/>
    <mergeCell ref="B27:G27"/>
    <mergeCell ref="H27:I27"/>
    <mergeCell ref="B28:G28"/>
    <mergeCell ref="H28:I28"/>
    <mergeCell ref="H25:I25"/>
    <mergeCell ref="G22:H22"/>
    <mergeCell ref="G23:H23"/>
    <mergeCell ref="B22:D22"/>
    <mergeCell ref="H26:I26"/>
    <mergeCell ref="C23:D23"/>
    <mergeCell ref="B26:G26"/>
    <mergeCell ref="Q29:R29"/>
    <mergeCell ref="L27:P27"/>
    <mergeCell ref="L29:P29"/>
    <mergeCell ref="Q27:U27"/>
    <mergeCell ref="Q28:R28"/>
    <mergeCell ref="M28:P28"/>
    <mergeCell ref="F3:K3"/>
    <mergeCell ref="L26:P26"/>
    <mergeCell ref="Q26:S26"/>
    <mergeCell ref="Q25:S25"/>
    <mergeCell ref="O22:P22"/>
    <mergeCell ref="Q22:R22"/>
    <mergeCell ref="O23:P23"/>
    <mergeCell ref="Q23:R23"/>
    <mergeCell ref="I17:J17"/>
    <mergeCell ref="I18:J18"/>
    <mergeCell ref="I19:J19"/>
    <mergeCell ref="I22:J22"/>
    <mergeCell ref="I23:J23"/>
    <mergeCell ref="G16:H16"/>
    <mergeCell ref="G17:H17"/>
    <mergeCell ref="N10:S10"/>
    <mergeCell ref="H15:J15"/>
    <mergeCell ref="L13:O13"/>
    <mergeCell ref="L14:O14"/>
    <mergeCell ref="L15:O15"/>
    <mergeCell ref="L12:O12"/>
    <mergeCell ref="D12:G12"/>
    <mergeCell ref="B2:E5"/>
    <mergeCell ref="F2:K2"/>
    <mergeCell ref="F5:K5"/>
    <mergeCell ref="M5:U5"/>
    <mergeCell ref="C11:R11"/>
    <mergeCell ref="C7:E7"/>
    <mergeCell ref="F4:K4"/>
    <mergeCell ref="M2:U4"/>
    <mergeCell ref="K10:L10"/>
    <mergeCell ref="F7:J7"/>
    <mergeCell ref="K8:L8"/>
    <mergeCell ref="M7:S7"/>
    <mergeCell ref="C8:H8"/>
    <mergeCell ref="C9:H9"/>
    <mergeCell ref="C10:H10"/>
  </mergeCells>
  <phoneticPr fontId="17" type="noConversion"/>
  <conditionalFormatting sqref="C11:C12 K13:K22">
    <cfRule type="expression" dxfId="2" priority="29">
      <formula>#REF!=0</formula>
    </cfRule>
  </conditionalFormatting>
  <conditionalFormatting sqref="D13:D18 L13:L18 K14:K22">
    <cfRule type="expression" dxfId="1" priority="30">
      <formula>#REF!=1</formula>
    </cfRule>
  </conditionalFormatting>
  <conditionalFormatting sqref="T11:T12">
    <cfRule type="expression" dxfId="0" priority="1">
      <formula>$T$11&lt;80</formula>
    </cfRule>
  </conditionalFormatting>
  <dataValidations disablePrompts="1" count="2">
    <dataValidation allowBlank="1" showErrorMessage="1" errorTitle="KĻŪDA" error="Tikai veseli skaitļi robežās no 0 līdz 10000000" sqref="C11:C12 K13" xr:uid="{00000000-0002-0000-0000-000000000000}"/>
    <dataValidation type="decimal" allowBlank="1" showErrorMessage="1" errorTitle="KĻŪDA" error="Tikai skaitļi no 0 līdz 1" sqref="K14:K22" xr:uid="{00000000-0002-0000-0000-000002000000}">
      <formula1>0.1</formula1>
      <formula2>1</formula2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scale="53" orientation="portrait" horizontalDpi="1200" verticalDpi="1200" r:id="rId1"/>
  <headerFooter>
    <oddFooter>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Dati!$B$3:$B$11</xm:f>
          </x14:formula1>
          <xm:sqref>D14 L14</xm:sqref>
        </x14:dataValidation>
        <x14:dataValidation type="list" allowBlank="1" showInputMessage="1" showErrorMessage="1" xr:uid="{66162AB3-2032-4BBD-897F-7F15735B7DE8}">
          <x14:formula1>
            <xm:f>Dati!$B$14:$B$26</xm:f>
          </x14:formula1>
          <xm:sqref>D13 L13</xm:sqref>
        </x14:dataValidation>
        <x14:dataValidation type="list" allowBlank="1" showInputMessage="1" showErrorMessage="1" xr:uid="{1CA8D253-5B93-40D1-AF93-09C7659EC919}">
          <x14:formula1>
            <xm:f>Dati!$F$14:$F$17</xm:f>
          </x14:formula1>
          <xm:sqref>D15 L15</xm:sqref>
        </x14:dataValidation>
        <x14:dataValidation type="list" allowBlank="1" showInputMessage="1" showErrorMessage="1" xr:uid="{126B7F56-6B69-4D0B-A332-968202B45394}">
          <x14:formula1>
            <xm:f>Dati!$G$6:$G$9</xm:f>
          </x14:formula1>
          <xm:sqref>Q27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16F8-C318-401E-B6D1-DC9A875F32A6}">
  <dimension ref="B1:L29"/>
  <sheetViews>
    <sheetView workbookViewId="0">
      <selection activeCell="O1" sqref="O1"/>
    </sheetView>
  </sheetViews>
  <sheetFormatPr defaultColWidth="8.85546875" defaultRowHeight="15"/>
  <cols>
    <col min="1" max="1" width="3.28515625" style="1" customWidth="1"/>
    <col min="2" max="2" width="74.28515625" style="1" customWidth="1"/>
    <col min="3" max="4" width="8.85546875" style="1"/>
    <col min="5" max="5" width="14.140625" style="14" bestFit="1" customWidth="1"/>
    <col min="6" max="6" width="8.85546875" style="1"/>
    <col min="7" max="7" width="30.42578125" style="1" customWidth="1"/>
    <col min="8" max="16384" width="8.85546875" style="1"/>
  </cols>
  <sheetData>
    <row r="1" spans="2:12" ht="60.75" customHeight="1">
      <c r="I1" s="1" t="s">
        <v>55</v>
      </c>
      <c r="J1" s="1" t="s">
        <v>29</v>
      </c>
    </row>
    <row r="2" spans="2:12" ht="16.5">
      <c r="B2" s="6" t="s">
        <v>56</v>
      </c>
      <c r="C2" s="142" t="s">
        <v>57</v>
      </c>
      <c r="D2" s="142"/>
      <c r="E2" s="17" t="s">
        <v>58</v>
      </c>
      <c r="H2" s="1" t="s">
        <v>59</v>
      </c>
      <c r="I2" s="1">
        <v>1</v>
      </c>
      <c r="J2" s="1">
        <f>1.5/0.6</f>
        <v>2.5</v>
      </c>
      <c r="K2" s="1">
        <f>IF('Projekta dati'!D13=Dati!B14,1,IF('Projekta dati'!D13=Dati!B15,1,IF('Projekta dati'!D13=Dati!B16,1,IF('Projekta dati'!D13=Dati!B17,1,IF('Projekta dati'!D13=Dati!B18,1,IF('Projekta dati'!D13=Dati!B19,1,0))))))</f>
        <v>1</v>
      </c>
      <c r="L2" s="1">
        <f>IF('Projekta dati'!L13=Dati!B14,1,IF('Projekta dati'!L13=Dati!B15,1,IF('Projekta dati'!L13=Dati!B16,1,IF('Projekta dati'!L13=Dati!B17,1,IF('Projekta dati'!L13=Dati!B18,1,IF('Projekta dati'!L13=Dati!B19,1,0))))))</f>
        <v>0</v>
      </c>
    </row>
    <row r="3" spans="2:12">
      <c r="B3" s="9" t="s">
        <v>60</v>
      </c>
      <c r="C3" s="10">
        <v>2952</v>
      </c>
      <c r="D3" s="10" t="s">
        <v>50</v>
      </c>
      <c r="E3" s="19">
        <v>0.2</v>
      </c>
      <c r="K3" s="1">
        <f>IF('Projekta dati'!D15=Dati!F15,1,0)</f>
        <v>1</v>
      </c>
      <c r="L3" s="1">
        <f>IF('Projekta dati'!L15=Dati!F15,1,0)</f>
        <v>1</v>
      </c>
    </row>
    <row r="4" spans="2:12">
      <c r="B4" s="9" t="s">
        <v>61</v>
      </c>
      <c r="C4" s="10">
        <v>2664</v>
      </c>
      <c r="D4" s="10" t="s">
        <v>50</v>
      </c>
      <c r="E4" s="19">
        <v>0.45</v>
      </c>
      <c r="H4" s="1" t="s">
        <v>62</v>
      </c>
    </row>
    <row r="5" spans="2:12" ht="30">
      <c r="B5" s="15" t="s">
        <v>26</v>
      </c>
      <c r="C5" s="10">
        <v>2664</v>
      </c>
      <c r="D5" s="10" t="s">
        <v>50</v>
      </c>
      <c r="E5" s="18">
        <v>0.65</v>
      </c>
      <c r="H5" s="1">
        <f>'Projekta dati'!I8</f>
        <v>135</v>
      </c>
      <c r="J5" s="1">
        <f>IF(H5&lt;120,1,IF(H5&gt;250,3,2))</f>
        <v>2</v>
      </c>
      <c r="K5" s="1">
        <f>IF(J5=1,180,IF(J5=3,125,150))</f>
        <v>150</v>
      </c>
      <c r="L5" s="1">
        <v>90</v>
      </c>
    </row>
    <row r="6" spans="2:12">
      <c r="B6" s="9" t="s">
        <v>63</v>
      </c>
      <c r="C6" s="10">
        <v>2664</v>
      </c>
      <c r="D6" s="10" t="s">
        <v>50</v>
      </c>
      <c r="E6" s="18">
        <v>0.65</v>
      </c>
      <c r="G6" s="1" t="s">
        <v>47</v>
      </c>
    </row>
    <row r="7" spans="2:12">
      <c r="B7" s="15" t="s">
        <v>64</v>
      </c>
      <c r="C7" s="10">
        <v>1692</v>
      </c>
      <c r="D7" s="10" t="s">
        <v>50</v>
      </c>
      <c r="E7" s="18">
        <v>0.65</v>
      </c>
      <c r="G7" s="1" t="s">
        <v>65</v>
      </c>
    </row>
    <row r="8" spans="2:12">
      <c r="B8" s="9" t="s">
        <v>66</v>
      </c>
      <c r="C8" s="10">
        <v>1692</v>
      </c>
      <c r="D8" s="10" t="s">
        <v>50</v>
      </c>
      <c r="E8" s="19">
        <v>0.85</v>
      </c>
      <c r="G8" s="1" t="s">
        <v>67</v>
      </c>
    </row>
    <row r="9" spans="2:12">
      <c r="B9" s="15" t="s">
        <v>27</v>
      </c>
      <c r="C9" s="10">
        <v>1433</v>
      </c>
      <c r="D9" s="10" t="s">
        <v>50</v>
      </c>
      <c r="E9" s="18">
        <v>0.65</v>
      </c>
      <c r="G9" s="1" t="s">
        <v>68</v>
      </c>
    </row>
    <row r="10" spans="2:12">
      <c r="B10" s="15" t="s">
        <v>69</v>
      </c>
      <c r="C10" s="10">
        <v>1433</v>
      </c>
      <c r="D10" s="10" t="s">
        <v>50</v>
      </c>
      <c r="E10" s="18">
        <v>0.65</v>
      </c>
      <c r="G10" s="1">
        <f>'Projekta dati'!I8</f>
        <v>135</v>
      </c>
    </row>
    <row r="11" spans="2:12">
      <c r="B11" s="9" t="s">
        <v>70</v>
      </c>
      <c r="C11" s="16">
        <v>1692</v>
      </c>
      <c r="D11" s="10" t="s">
        <v>50</v>
      </c>
      <c r="E11" s="19">
        <v>0.5</v>
      </c>
      <c r="G11" s="1">
        <f>'Projekta dati'!H26</f>
        <v>11.814876666666667</v>
      </c>
    </row>
    <row r="12" spans="2:12">
      <c r="G12" s="1">
        <v>212</v>
      </c>
      <c r="H12" s="1">
        <f>G12*G13</f>
        <v>5088</v>
      </c>
    </row>
    <row r="13" spans="2:12" ht="15.75">
      <c r="B13" s="30" t="s">
        <v>71</v>
      </c>
      <c r="C13" s="12" t="s">
        <v>72</v>
      </c>
      <c r="D13" s="12"/>
      <c r="E13" s="11"/>
      <c r="G13" s="1">
        <v>24</v>
      </c>
    </row>
    <row r="14" spans="2:12" ht="15.75">
      <c r="B14" s="30" t="s">
        <v>73</v>
      </c>
      <c r="C14" s="12">
        <v>4.5110000000000001</v>
      </c>
      <c r="D14" s="12" t="s">
        <v>74</v>
      </c>
      <c r="E14" s="11" t="s">
        <v>55</v>
      </c>
      <c r="F14" s="1" t="s">
        <v>55</v>
      </c>
      <c r="G14" s="1">
        <f>'Projekta dati'!I9</f>
        <v>18</v>
      </c>
      <c r="H14" s="1">
        <f>G14-G16</f>
        <v>16</v>
      </c>
    </row>
    <row r="15" spans="2:12" ht="15.75">
      <c r="B15" s="30" t="s">
        <v>23</v>
      </c>
      <c r="C15" s="12">
        <v>3.9340000000000002</v>
      </c>
      <c r="D15" s="12" t="s">
        <v>75</v>
      </c>
      <c r="E15" s="11" t="s">
        <v>55</v>
      </c>
      <c r="F15" s="1" t="s">
        <v>29</v>
      </c>
      <c r="G15" s="1">
        <v>-24</v>
      </c>
      <c r="H15" s="1">
        <f>ABS(G15-G14)</f>
        <v>42</v>
      </c>
    </row>
    <row r="16" spans="2:12" ht="15.75">
      <c r="B16" s="30" t="s">
        <v>76</v>
      </c>
      <c r="C16" s="12">
        <v>3.359</v>
      </c>
      <c r="D16" s="12" t="s">
        <v>75</v>
      </c>
      <c r="E16" s="11" t="s">
        <v>55</v>
      </c>
      <c r="F16" s="1" t="s">
        <v>77</v>
      </c>
      <c r="G16" s="1">
        <v>2</v>
      </c>
      <c r="H16" s="34">
        <f>H15/H14*1.2</f>
        <v>3.15</v>
      </c>
      <c r="I16" s="1">
        <v>0.85</v>
      </c>
    </row>
    <row r="17" spans="2:7" ht="15.75">
      <c r="B17" s="30" t="s">
        <v>78</v>
      </c>
      <c r="C17" s="12">
        <v>2.7810000000000001</v>
      </c>
      <c r="D17" s="12" t="s">
        <v>74</v>
      </c>
      <c r="E17" s="11" t="s">
        <v>55</v>
      </c>
      <c r="G17" s="34">
        <f>ROUNDUP((G11*1000/(G12*G13)*(H15)/(G14-G16))*1.2/I16,0)</f>
        <v>9</v>
      </c>
    </row>
    <row r="18" spans="2:7" ht="15.75">
      <c r="B18" s="30" t="s">
        <v>79</v>
      </c>
      <c r="C18" s="12">
        <v>2.1469999999999998</v>
      </c>
      <c r="D18" s="12" t="s">
        <v>74</v>
      </c>
      <c r="E18" s="11" t="s">
        <v>55</v>
      </c>
    </row>
    <row r="19" spans="2:7" ht="15.75">
      <c r="B19" s="30" t="s">
        <v>80</v>
      </c>
      <c r="C19" s="12">
        <v>1.917</v>
      </c>
      <c r="D19" s="12" t="s">
        <v>74</v>
      </c>
      <c r="E19" s="11" t="s">
        <v>55</v>
      </c>
    </row>
    <row r="20" spans="2:7" ht="15.75">
      <c r="B20" s="31" t="s">
        <v>81</v>
      </c>
      <c r="C20" s="1">
        <v>0.747</v>
      </c>
      <c r="D20" s="1" t="s">
        <v>82</v>
      </c>
      <c r="E20" s="2" t="s">
        <v>29</v>
      </c>
    </row>
    <row r="21" spans="2:7">
      <c r="B21" s="31" t="s">
        <v>83</v>
      </c>
      <c r="C21" s="1">
        <v>0.90600000000000003</v>
      </c>
      <c r="D21" s="1" t="s">
        <v>82</v>
      </c>
      <c r="E21" s="3" t="s">
        <v>29</v>
      </c>
    </row>
    <row r="22" spans="2:7" ht="15.75">
      <c r="B22" s="31" t="s">
        <v>84</v>
      </c>
      <c r="C22" s="1">
        <v>4.6609999999999996</v>
      </c>
      <c r="D22" s="1" t="s">
        <v>85</v>
      </c>
      <c r="E22" s="2" t="s">
        <v>77</v>
      </c>
    </row>
    <row r="23" spans="2:7" ht="15.75">
      <c r="B23" s="31" t="s">
        <v>86</v>
      </c>
      <c r="C23" s="1">
        <v>4.8730000000000002</v>
      </c>
      <c r="D23" s="1" t="s">
        <v>85</v>
      </c>
      <c r="E23" s="2" t="s">
        <v>77</v>
      </c>
    </row>
    <row r="24" spans="2:7" ht="15.75">
      <c r="B24" s="31" t="s">
        <v>24</v>
      </c>
      <c r="C24" s="1">
        <v>6.6369999999999996</v>
      </c>
      <c r="D24" s="1" t="s">
        <v>85</v>
      </c>
      <c r="E24" s="2" t="s">
        <v>77</v>
      </c>
    </row>
    <row r="25" spans="2:7" ht="15.75">
      <c r="B25" s="31" t="s">
        <v>87</v>
      </c>
      <c r="C25" s="1">
        <v>2.7919999999999998</v>
      </c>
      <c r="D25" s="1" t="s">
        <v>85</v>
      </c>
      <c r="E25" s="2" t="s">
        <v>77</v>
      </c>
    </row>
    <row r="26" spans="2:7" ht="15.75">
      <c r="B26" s="31" t="s">
        <v>88</v>
      </c>
      <c r="C26" s="1">
        <v>4.3029999999999999</v>
      </c>
      <c r="D26" s="1" t="s">
        <v>85</v>
      </c>
      <c r="E26" s="2" t="s">
        <v>77</v>
      </c>
    </row>
    <row r="27" spans="2:7">
      <c r="D27" s="1" t="s">
        <v>55</v>
      </c>
      <c r="E27" s="14" t="s">
        <v>89</v>
      </c>
    </row>
    <row r="28" spans="2:7">
      <c r="D28" s="1" t="s">
        <v>29</v>
      </c>
      <c r="E28" s="14" t="s">
        <v>82</v>
      </c>
    </row>
    <row r="29" spans="2:7">
      <c r="D29" s="1" t="s">
        <v>77</v>
      </c>
      <c r="E29" s="14" t="s">
        <v>85</v>
      </c>
    </row>
  </sheetData>
  <mergeCells count="1">
    <mergeCell ref="C2:D2"/>
  </mergeCells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0A9FF30EE10C44A6751BC2D36CC040" ma:contentTypeVersion="13" ma:contentTypeDescription="Create a new document." ma:contentTypeScope="" ma:versionID="9de9d333c1dfeb62a22d70e5f7e1dc9b">
  <xsd:schema xmlns:xsd="http://www.w3.org/2001/XMLSchema" xmlns:xs="http://www.w3.org/2001/XMLSchema" xmlns:p="http://schemas.microsoft.com/office/2006/metadata/properties" xmlns:ns2="a84ad92e-a5c9-407a-af9a-37596a145915" xmlns:ns3="9b4a47be-c97c-4e51-b319-47976872be82" targetNamespace="http://schemas.microsoft.com/office/2006/metadata/properties" ma:root="true" ma:fieldsID="2659be4a08614eafe7307a67749a8543" ns2:_="" ns3:_="">
    <xsd:import namespace="a84ad92e-a5c9-407a-af9a-37596a145915"/>
    <xsd:import namespace="9b4a47be-c97c-4e51-b319-47976872be8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ad92e-a5c9-407a-af9a-37596a1459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a47be-c97c-4e51-b319-47976872be8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757f9cc-656e-40ca-89bc-c6124d6caa1d}" ma:internalName="TaxCatchAll" ma:showField="CatchAllData" ma:web="9b4a47be-c97c-4e51-b319-47976872b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a47be-c97c-4e51-b319-47976872be82" xsi:nil="true"/>
    <lcf76f155ced4ddcb4097134ff3c332f xmlns="a84ad92e-a5c9-407a-af9a-37596a145915">
      <Terms xmlns="http://schemas.microsoft.com/office/infopath/2007/PartnerControls"/>
    </lcf76f155ced4ddcb4097134ff3c332f>
    <SharedWithUsers xmlns="9b4a47be-c97c-4e51-b319-47976872be82">
      <UserInfo>
        <DisplayName>Mikus Spalviņš</DisplayName>
        <AccountId>24</AccountId>
        <AccountType/>
      </UserInfo>
      <UserInfo>
        <DisplayName>Madara Austriņa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129B4-421B-4EDB-BFA6-3ADF52D4026D}"/>
</file>

<file path=customXml/itemProps2.xml><?xml version="1.0" encoding="utf-8"?>
<ds:datastoreItem xmlns:ds="http://schemas.openxmlformats.org/officeDocument/2006/customXml" ds:itemID="{80F5AC93-022D-4981-AAEC-AADC094B2FB2}"/>
</file>

<file path=customXml/itemProps3.xml><?xml version="1.0" encoding="utf-8"?>
<ds:datastoreItem xmlns:ds="http://schemas.openxmlformats.org/officeDocument/2006/customXml" ds:itemID="{DB28FDE8-F13A-472D-93AC-0728F42E4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Modris</dc:creator>
  <cp:keywords/>
  <dc:description/>
  <cp:lastModifiedBy>Mikus Spalviņš</cp:lastModifiedBy>
  <cp:revision/>
  <dcterms:created xsi:type="dcterms:W3CDTF">2021-08-31T15:22:26Z</dcterms:created>
  <dcterms:modified xsi:type="dcterms:W3CDTF">2023-05-12T11:23:58Z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0x010100F80A9FF30EE10C44A6751BC2D36CC040</vt:lpwstr>
  </property>
  <property fmtid="{D5CDD505-2E9C-101B-9397-08002B2CF9AE}" pid="3" name="MediaServiceImageTags">
    <vt:lpwstr/>
  </property>
</Properties>
</file>